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eduardozambrano/Dropbox/University Life/Calpoly/Teaching/Econ 409/Book/revision/changed files/Revised Material/Revised Excel Files/"/>
    </mc:Choice>
  </mc:AlternateContent>
  <bookViews>
    <workbookView xWindow="14380" yWindow="2280" windowWidth="19900" windowHeight="10140"/>
  </bookViews>
  <sheets>
    <sheet name="Figure1" sheetId="1" r:id="rId1"/>
    <sheet name="Figure2" sheetId="2" r:id="rId2"/>
    <sheet name="Figure3" sheetId="3" r:id="rId3"/>
    <sheet name="Figure4" sheetId="4" r:id="rId4"/>
    <sheet name="Figure5" sheetId="5" r:id="rId5"/>
  </sheets>
  <externalReferences>
    <externalReference r:id="rId6"/>
  </externalReferences>
  <definedNames>
    <definedName name="sim" localSheetId="1">Figure2!$A$19:$B$420</definedName>
  </definedNames>
  <calcPr calcId="162913" iterate="1" iterateCount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A12" i="2"/>
  <c r="A13" i="2"/>
  <c r="B15" i="2"/>
  <c r="C6" i="3"/>
  <c r="D6" i="3"/>
  <c r="C7" i="3"/>
  <c r="D7" i="3"/>
  <c r="C8" i="3"/>
  <c r="D8" i="3"/>
  <c r="C9" i="3"/>
  <c r="D9" i="3"/>
  <c r="C10" i="3"/>
  <c r="D10" i="3"/>
  <c r="A10" i="4"/>
  <c r="D21" i="4" s="1"/>
  <c r="E25" i="4" s="1"/>
  <c r="C16" i="4"/>
  <c r="D10" i="4" s="1"/>
  <c r="A15" i="4"/>
  <c r="A70" i="4" s="1"/>
  <c r="A21" i="4"/>
  <c r="A22" i="4"/>
  <c r="D22" i="4"/>
  <c r="J25" i="4"/>
  <c r="A29" i="4"/>
  <c r="D29" i="4" s="1"/>
  <c r="D65" i="4"/>
  <c r="F65" i="4"/>
  <c r="A66" i="4"/>
  <c r="D66" i="4"/>
  <c r="F66" i="4"/>
  <c r="A67" i="4"/>
  <c r="D67" i="4"/>
  <c r="F67" i="4"/>
  <c r="A68" i="4"/>
  <c r="D68" i="4"/>
  <c r="F68" i="4" s="1"/>
  <c r="A69" i="4"/>
  <c r="D69" i="4"/>
  <c r="F69" i="4"/>
  <c r="D70" i="4"/>
  <c r="F70" i="4"/>
  <c r="A74" i="4"/>
  <c r="B74" i="4"/>
  <c r="A75" i="4"/>
  <c r="B75" i="4"/>
  <c r="B81" i="4"/>
  <c r="A82" i="4"/>
  <c r="B82" i="4"/>
  <c r="G5" i="5"/>
  <c r="G11" i="5"/>
  <c r="G10" i="5"/>
  <c r="H5" i="5"/>
  <c r="E10" i="5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A33" i="4"/>
  <c r="N10" i="3"/>
  <c r="N9" i="3"/>
  <c r="N8" i="3"/>
  <c r="N7" i="3"/>
  <c r="N6" i="3"/>
  <c r="I9" i="3"/>
  <c r="I7" i="3"/>
  <c r="A2" i="2"/>
  <c r="J8" i="2"/>
  <c r="Q10" i="3"/>
  <c r="Q6" i="3"/>
  <c r="F6" i="3"/>
  <c r="L3" i="2"/>
  <c r="A25" i="4"/>
  <c r="M10" i="3"/>
  <c r="M9" i="3"/>
  <c r="M8" i="3"/>
  <c r="M7" i="3"/>
  <c r="M6" i="3"/>
  <c r="F9" i="3"/>
  <c r="F7" i="3"/>
  <c r="B19" i="2"/>
  <c r="M12" i="2"/>
  <c r="J9" i="2"/>
  <c r="D10" i="2"/>
  <c r="D6" i="2"/>
  <c r="A2" i="1"/>
  <c r="I8" i="3"/>
  <c r="N3" i="2"/>
  <c r="B23" i="1"/>
  <c r="B19" i="1"/>
  <c r="B15" i="1"/>
  <c r="B9" i="1"/>
  <c r="Q9" i="3"/>
  <c r="Q7" i="3"/>
  <c r="F8" i="3"/>
  <c r="J7" i="2"/>
  <c r="C4" i="1"/>
  <c r="R10" i="3"/>
  <c r="R9" i="3"/>
  <c r="R8" i="3"/>
  <c r="R7" i="3"/>
  <c r="R6" i="3"/>
  <c r="I10" i="3"/>
  <c r="I6" i="3"/>
  <c r="B16" i="2"/>
  <c r="D9" i="2"/>
  <c r="B25" i="1"/>
  <c r="B17" i="1"/>
  <c r="B13" i="1"/>
  <c r="B7" i="1"/>
  <c r="Q8" i="3"/>
  <c r="F10" i="3"/>
  <c r="D21" i="2"/>
  <c r="D8" i="2"/>
  <c r="D7" i="2"/>
  <c r="J6" i="2"/>
  <c r="J10" i="2"/>
  <c r="B12" i="2"/>
  <c r="D20" i="2"/>
  <c r="C7" i="1"/>
  <c r="C9" i="1"/>
  <c r="C13" i="1"/>
  <c r="C15" i="1"/>
  <c r="C17" i="1"/>
  <c r="C19" i="1"/>
  <c r="C23" i="1"/>
  <c r="C25" i="1"/>
  <c r="B11" i="1"/>
  <c r="C11" i="1" s="1"/>
  <c r="B21" i="1"/>
  <c r="C21" i="1" s="1"/>
  <c r="B4" i="1"/>
  <c r="B8" i="1"/>
  <c r="C8" i="1" s="1"/>
  <c r="B10" i="1"/>
  <c r="C10" i="1" s="1"/>
  <c r="B12" i="1"/>
  <c r="C12" i="1" s="1"/>
  <c r="B14" i="1"/>
  <c r="C14" i="1" s="1"/>
  <c r="B16" i="1"/>
  <c r="C16" i="1" s="1"/>
  <c r="B18" i="1"/>
  <c r="C18" i="1" s="1"/>
  <c r="B20" i="1"/>
  <c r="C20" i="1" s="1"/>
  <c r="B22" i="1"/>
  <c r="C22" i="1" s="1"/>
  <c r="B24" i="1"/>
  <c r="C24" i="1" s="1"/>
  <c r="D13" i="4" l="1"/>
  <c r="D15" i="4"/>
  <c r="D12" i="4"/>
  <c r="D25" i="4" s="1"/>
  <c r="D11" i="4"/>
  <c r="D14" i="4"/>
  <c r="O9" i="3"/>
  <c r="O7" i="3"/>
  <c r="O10" i="3"/>
  <c r="O8" i="3"/>
  <c r="O6" i="3"/>
  <c r="G8" i="3"/>
  <c r="J6" i="3"/>
  <c r="J8" i="3"/>
  <c r="J10" i="3"/>
  <c r="G10" i="3"/>
  <c r="D12" i="2"/>
  <c r="H17" i="2"/>
  <c r="H18" i="2"/>
  <c r="H15" i="2"/>
  <c r="G7" i="3"/>
  <c r="G9" i="3"/>
  <c r="G6" i="3"/>
  <c r="I1" i="1"/>
  <c r="J12" i="2"/>
  <c r="F8" i="2"/>
  <c r="F9" i="2"/>
  <c r="F6" i="2"/>
  <c r="F10" i="2"/>
  <c r="F7" i="2"/>
  <c r="J7" i="3"/>
  <c r="J9" i="3"/>
  <c r="D33" i="4"/>
  <c r="G12" i="2"/>
  <c r="E33" i="4"/>
  <c r="B17" i="2"/>
  <c r="H11" i="5"/>
  <c r="D82" i="4"/>
  <c r="H17" i="5"/>
  <c r="A81" i="4"/>
  <c r="F75" i="4"/>
  <c r="H29" i="5"/>
  <c r="H25" i="5"/>
  <c r="H21" i="5"/>
  <c r="H22" i="5"/>
  <c r="H18" i="5"/>
  <c r="H14" i="5"/>
  <c r="H7" i="5"/>
  <c r="A65" i="4"/>
  <c r="D74" i="4" s="1"/>
  <c r="D30" i="4"/>
  <c r="N12" i="2"/>
  <c r="H13" i="5"/>
  <c r="H10" i="5"/>
  <c r="H30" i="5"/>
  <c r="F82" i="4"/>
  <c r="H27" i="5"/>
  <c r="H23" i="5"/>
  <c r="H19" i="5"/>
  <c r="H15" i="5"/>
  <c r="J33" i="4"/>
  <c r="I12" i="2"/>
  <c r="E12" i="2"/>
  <c r="L12" i="2" s="1"/>
  <c r="H16" i="2"/>
  <c r="F12" i="2" l="1"/>
  <c r="S10" i="3"/>
  <c r="S7" i="3"/>
  <c r="S8" i="3"/>
  <c r="S6" i="3"/>
  <c r="S9" i="3"/>
  <c r="H20" i="2"/>
  <c r="I20" i="2"/>
  <c r="D81" i="4"/>
  <c r="D84" i="4" s="1"/>
  <c r="G84" i="4" s="1"/>
  <c r="F81" i="4"/>
  <c r="F84" i="4" s="1"/>
  <c r="D75" i="4"/>
  <c r="D77" i="4" s="1"/>
  <c r="H16" i="5"/>
  <c r="H24" i="5"/>
  <c r="H28" i="5"/>
  <c r="H20" i="5"/>
  <c r="H26" i="5"/>
  <c r="H12" i="5"/>
  <c r="F74" i="4"/>
  <c r="F77" i="4" s="1"/>
  <c r="F88" i="4" s="1"/>
  <c r="H21" i="2"/>
  <c r="I21" i="2"/>
  <c r="G77" i="4" l="1"/>
  <c r="D88" i="4"/>
  <c r="E90" i="4" s="1"/>
</calcChain>
</file>

<file path=xl/sharedStrings.xml><?xml version="1.0" encoding="utf-8"?>
<sst xmlns="http://schemas.openxmlformats.org/spreadsheetml/2006/main" count="261" uniqueCount="230">
  <si>
    <t>RiskTolerance</t>
  </si>
  <si>
    <t>EU</t>
  </si>
  <si>
    <t>U(CE)</t>
  </si>
  <si>
    <t>$X</t>
  </si>
  <si>
    <t>UTIL(X,RT)</t>
  </si>
  <si>
    <t>UINV(U,RT)</t>
  </si>
  <si>
    <t>FORMULAS FROM RANGE A6:C26</t>
  </si>
  <si>
    <t>A2.  =RISKTOL(20,-10,2)</t>
  </si>
  <si>
    <t>B4.  =0.5*UTIL(20,A2)+0.5*UTIL(-10,A2)</t>
  </si>
  <si>
    <t>C4.  =UTIL(2,A2)</t>
  </si>
  <si>
    <t>B7.  =UTIL(A7,$A$2)</t>
  </si>
  <si>
    <t>C7.  =UINV(B7,$A$2)</t>
  </si>
  <si>
    <t xml:space="preserve"> B7:C7 copied to B7:C25.</t>
  </si>
  <si>
    <t>Chart plots (A7:A25,B7:B25).</t>
  </si>
  <si>
    <t>DecisionMaker's RiskTolerance</t>
  </si>
  <si>
    <t>From:</t>
  </si>
  <si>
    <t>High$</t>
  </si>
  <si>
    <t>Low$</t>
  </si>
  <si>
    <t>Check:</t>
  </si>
  <si>
    <t>U(K)</t>
  </si>
  <si>
    <t>Assessed CE</t>
  </si>
  <si>
    <t xml:space="preserve">K  </t>
  </si>
  <si>
    <t>CALCULATING CERTAINTY EQUIVALENT OF DISCRETE LOTTERY</t>
  </si>
  <si>
    <t>FORMULAS FROM RANGE L1:N12</t>
  </si>
  <si>
    <t>$Prize</t>
  </si>
  <si>
    <t>Proby</t>
  </si>
  <si>
    <t>Util(Prize,RT)</t>
  </si>
  <si>
    <t>Exponential formula</t>
  </si>
  <si>
    <t>Prize+K</t>
  </si>
  <si>
    <t>Util</t>
  </si>
  <si>
    <t>L3.  =CE(H1:H2,A2)</t>
  </si>
  <si>
    <t>N3.  =UTIL(I4,$A$2)</t>
  </si>
  <si>
    <t>L12.  =UTIL(E12,A2)</t>
  </si>
  <si>
    <t>M12.  =STDEVPR(A6:A10,B6:B10)</t>
  </si>
  <si>
    <t>N12.  =A12-(0.5/A2)*(M12^2)</t>
  </si>
  <si>
    <t>EMV</t>
  </si>
  <si>
    <t>CE</t>
  </si>
  <si>
    <t>CE from EU</t>
  </si>
  <si>
    <t>RP</t>
  </si>
  <si>
    <t>CE(Prize+K)</t>
  </si>
  <si>
    <t>U(E12)</t>
  </si>
  <si>
    <t>STDEV</t>
  </si>
  <si>
    <t>The Normal formula for CEs is not valid here!</t>
  </si>
  <si>
    <t>ESTIMATES FROM SIMULATION:</t>
  </si>
  <si>
    <t>Calculations from utilities:</t>
  </si>
  <si>
    <t>Expected Monetary Value</t>
  </si>
  <si>
    <t>Certainty Equivalent</t>
  </si>
  <si>
    <t>Risk Premium</t>
  </si>
  <si>
    <t>Stdev(U)</t>
  </si>
  <si>
    <t>Count</t>
  </si>
  <si>
    <t>SimTable</t>
  </si>
  <si>
    <t>Utility</t>
  </si>
  <si>
    <t>95% confidence intervals:</t>
  </si>
  <si>
    <t>FORMULAS FROM RANGE A1:J30</t>
  </si>
  <si>
    <t>A2.  =RISKTOL(H1,H2,H3)</t>
  </si>
  <si>
    <t>D6.  =UTIL(A6,$A$2)</t>
  </si>
  <si>
    <t>D6 copied to D6:D10</t>
  </si>
  <si>
    <t>F6.  =-EXP(-A6/$A$2)</t>
  </si>
  <si>
    <t>F6 copied to F6:F10</t>
  </si>
  <si>
    <t>A12.  =SUMPRODUCT(A6:A10,$B$6:$B$10)</t>
  </si>
  <si>
    <t>B12.  =CEPR(A6:A10,B6:B10,A2)</t>
  </si>
  <si>
    <t>D12.  =SUMPRODUCT(D6:D10,$B$6:$B$10)</t>
  </si>
  <si>
    <t>E12.  =UINV(D12,$A$2)</t>
  </si>
  <si>
    <t>F12.  =-A2*LN(-D12)</t>
  </si>
  <si>
    <t>G12.  =A12-B12</t>
  </si>
  <si>
    <t>I6.  =A6+$I$4</t>
  </si>
  <si>
    <t>I6 copied to I6:I10</t>
  </si>
  <si>
    <t>J6.  =UTIL(I6,$A$2)</t>
  </si>
  <si>
    <t>J6 copied to J6:J10</t>
  </si>
  <si>
    <t>J12.  =SUMPRODUCT(J6:J10,$B$6:$B$10)</t>
  </si>
  <si>
    <t>I12.  =UINV(J12,$A$2)</t>
  </si>
  <si>
    <t>B19.  =DISCRINV(RAND(),A6:A10,B6:B10)</t>
  </si>
  <si>
    <t>B15.  =AVERAGE(B20:B420)</t>
  </si>
  <si>
    <t>B16.  =CE(B20:B420,A2)</t>
  </si>
  <si>
    <t>B17.  =B15-B16</t>
  </si>
  <si>
    <t>D20.  =UTIL(B20,$A$2)</t>
  </si>
  <si>
    <t>D20 copied to D20:D420</t>
  </si>
  <si>
    <t>H15.  =AVERAGE(D20:D420)</t>
  </si>
  <si>
    <t>H16.  =UINV(H15,A2)</t>
  </si>
  <si>
    <t>H18.  =COUNT(D20:D420)</t>
  </si>
  <si>
    <t>H20.  =H15-1.96*H17/H18^0.5</t>
  </si>
  <si>
    <t>I20.  =H15+1.96*H17/H18^0.5</t>
  </si>
  <si>
    <t>H21.  =UINV(H20,$A$2)</t>
  </si>
  <si>
    <t>I21.  =UINV(I20,$A$2)</t>
  </si>
  <si>
    <t>d</t>
  </si>
  <si>
    <t>RiskTolConst</t>
  </si>
  <si>
    <t>RiskTolSlope</t>
  </si>
  <si>
    <t>Fact: The local risk tolerance of a utility function u</t>
  </si>
  <si>
    <t>at wealth x is -u'(x)/u"(x).</t>
  </si>
  <si>
    <t>$Prizes,Pr=1/2</t>
  </si>
  <si>
    <t>ConstantRiskTolerance</t>
  </si>
  <si>
    <t>LinearRiskTolerance</t>
  </si>
  <si>
    <t xml:space="preserve">  constRT  </t>
  </si>
  <si>
    <t xml:space="preserve">  linearRT  </t>
  </si>
  <si>
    <t>X</t>
  </si>
  <si>
    <t>X+d</t>
  </si>
  <si>
    <t>X-d</t>
  </si>
  <si>
    <t>0.5*(d^2)/RP</t>
  </si>
  <si>
    <t>u'</t>
  </si>
  <si>
    <t>u"</t>
  </si>
  <si>
    <t>-u'/u"</t>
  </si>
  <si>
    <t>FORMULAS</t>
  </si>
  <si>
    <t>FORMULAS FROM RANGE M6:R6</t>
  </si>
  <si>
    <t>C6.  =A6+$C$2</t>
  </si>
  <si>
    <t>M6.  =(UTIL(C6,$F$2)-UTIL(D6,$F$2))/(C6-D6)</t>
  </si>
  <si>
    <t>D6.  =A6-$C$2</t>
  </si>
  <si>
    <t>N6.  =(UTIL(C6,$F$2)-2*UTIL(A6,$F$2)+UTIL(D6,$F$2))/(A6-D6)^2</t>
  </si>
  <si>
    <t>F6.  =A6-CE(C6:D6,$F$2)</t>
  </si>
  <si>
    <t>O6.  =-M6/N6</t>
  </si>
  <si>
    <t>G6.  =0.5*($C$2^2)/F6</t>
  </si>
  <si>
    <t>Q6.  =(UTIL(C6,$F$2,$I$2)-UTIL(D6,$F$2,$I$2))/(C6-D6)</t>
  </si>
  <si>
    <t>I6.  =A6-CE(C6:D6,$F$2,$I$2)</t>
  </si>
  <si>
    <t>R6.  =(UTIL(C6,$F$2,$I$2)-2*UTIL(A6,$F$2,$I$2)+UTIL(D6,$F$2,$I$2))/(A6-D6)^2</t>
  </si>
  <si>
    <t>J6.  =0.5*($C$2^2)/I6</t>
  </si>
  <si>
    <t>S6.  =-Q6/R6</t>
  </si>
  <si>
    <t xml:space="preserve"> C6:J6 copied to C6:J10</t>
  </si>
  <si>
    <t xml:space="preserve"> M6:S6 copied to M6:S10</t>
  </si>
  <si>
    <t>The derivation of Utility Theory begins by choosing High and Low Prizes.</t>
  </si>
  <si>
    <t>High Prize$</t>
  </si>
  <si>
    <t>Low Prize$</t>
  </si>
  <si>
    <t>For other prizes $X in between these prizes, we ask the Decision Maker:</t>
  </si>
  <si>
    <t>What probability p would make $X as good as a lottery that pays</t>
  </si>
  <si>
    <t>the High Prize with probability p, the Low Prize with probability 1-p?</t>
  </si>
  <si>
    <t>We can then make a table of the DM's responses.</t>
  </si>
  <si>
    <t>Given</t>
  </si>
  <si>
    <t>DM assesses</t>
  </si>
  <si>
    <t>So the DM considers the Prize$ as good as</t>
  </si>
  <si>
    <t>Prize$</t>
  </si>
  <si>
    <t>p=P(High$):</t>
  </si>
  <si>
    <t>this equivalent High-Low lottery:</t>
  </si>
  <si>
    <t>(rand)</t>
  </si>
  <si>
    <t>Now consider any other lotteries.</t>
  </si>
  <si>
    <t>LOTTERY 1</t>
  </si>
  <si>
    <t>Prob'y</t>
  </si>
  <si>
    <t>P(Get High$ in H-L-equiv)</t>
  </si>
  <si>
    <t>Simulations of Lottery 1 and an equivalent High-Low lottery:</t>
  </si>
  <si>
    <t>Lottery 1</t>
  </si>
  <si>
    <t>H-L-equiv lottery</t>
  </si>
  <si>
    <t xml:space="preserve"> P(Get High$ in H-L-equiv)</t>
  </si>
  <si>
    <t>EMV(Lott1)</t>
  </si>
  <si>
    <t>LOTTERY 2</t>
  </si>
  <si>
    <t>Simulations of Lottery 2 and an equivalent High-Low lottery:</t>
  </si>
  <si>
    <t>Lottery 2</t>
  </si>
  <si>
    <t>EMV(Lott2)</t>
  </si>
  <si>
    <t>The decision-maker, if rational, should prefer Lottery 1 over Lottery 2</t>
  </si>
  <si>
    <t>if the value of cell E28 is greater than the value of cell E37.</t>
  </si>
  <si>
    <t>Now let the DM's assessed equivalent probabilities of the high prize</t>
  </si>
  <si>
    <t>in cells B10:B15 be called "Utilities" of the prizes in A12:A17.</t>
  </si>
  <si>
    <t>Then the decision maker, if rational should always prefer the lottery</t>
  </si>
  <si>
    <t>that has the higher Expected Utility (in cell E25 or cell E33)</t>
  </si>
  <si>
    <t>FORMULAS FROM RANGE A1:H40</t>
  </si>
  <si>
    <t>C15.  =RAND()</t>
  </si>
  <si>
    <t>D10.  =IF($C$15&lt;B10,$A$2,$D$2)</t>
  </si>
  <si>
    <t xml:space="preserve"> D10 copied to D10:D15</t>
  </si>
  <si>
    <t>D21.  =VLOOKUP(A21,$A$10:$B$15,2,0)</t>
  </si>
  <si>
    <t xml:space="preserve"> D21 copied to D21:D22,D29:D30</t>
  </si>
  <si>
    <t>A25.  =DISCRINV(RAND(),A21:A22,B21:B22)</t>
  </si>
  <si>
    <t>D25.  =VLOOKUP(A25,$A$10:$D$15,4,0)</t>
  </si>
  <si>
    <t>E25.  =SUMPRODUCT(B21:B22,D21:D22)</t>
  </si>
  <si>
    <t xml:space="preserve"> A25:E25 copied to A33:E33</t>
  </si>
  <si>
    <t>LINEAR TRANSFORMATIONS OF UTILITIES</t>
  </si>
  <si>
    <t>In such Expected Utility calculations, the ranking of lotteries would</t>
  </si>
  <si>
    <t>not change if we multiplied all Utility numbers by a positive constant,</t>
  </si>
  <si>
    <t>or if we added a constant to all Utility numbers.  For example:</t>
  </si>
  <si>
    <t>Multiply OldU by</t>
  </si>
  <si>
    <t xml:space="preserve">and then add </t>
  </si>
  <si>
    <t>to get the linearly transformed New Utilities:</t>
  </si>
  <si>
    <t>Old Utility</t>
  </si>
  <si>
    <t>New Utility</t>
  </si>
  <si>
    <t>OldUtils</t>
  </si>
  <si>
    <t>NewUtils</t>
  </si>
  <si>
    <t>E(OldU)</t>
  </si>
  <si>
    <t>E(NewU)</t>
  </si>
  <si>
    <t>Does Lottery 1 look better than Lottery 2 in terms of:</t>
  </si>
  <si>
    <t>E(OldU)?</t>
  </si>
  <si>
    <t>E(NewU)?</t>
  </si>
  <si>
    <t>Do the two Utility scales yield the same ranking of these lotteries?</t>
  </si>
  <si>
    <t>...always!!!</t>
  </si>
  <si>
    <t>So the same decision-maker's preferences can be described by</t>
  </si>
  <si>
    <t>different utility scales that differ by linear transformations,</t>
  </si>
  <si>
    <t>like degrees Fahrenheit and Centigrade.</t>
  </si>
  <si>
    <t>We can make a valid utility scale for this decision-maker</t>
  </si>
  <si>
    <t>that has any arbitrarily specified U($0) and U($5000) values,</t>
  </si>
  <si>
    <t>provided only that the U($0) is less than the U($5000).</t>
  </si>
  <si>
    <t>But once U($0) and U($5000) are specified, all other utility values</t>
  </si>
  <si>
    <t>are determined by the DM's assessed preferences.</t>
  </si>
  <si>
    <t>FORMULAS FROM RANGE A57:H90</t>
  </si>
  <si>
    <t>F65.  =D65*$C$61+$C$62</t>
  </si>
  <si>
    <t>G77.  =D77*$C$61+$C$62</t>
  </si>
  <si>
    <t xml:space="preserve"> F65 copied to F65:F70.</t>
  </si>
  <si>
    <t xml:space="preserve"> D74:G77 copied to D81.</t>
  </si>
  <si>
    <t>D74.  =VLOOKUP(A74,$A$65:$F$70,4,0)</t>
  </si>
  <si>
    <t>D88.  =(D77&gt;D84)</t>
  </si>
  <si>
    <t>F74.  =VLOOKUP(A74,$A$65:$F$70,6,0)</t>
  </si>
  <si>
    <t>F88.  =(F77&gt;F84)</t>
  </si>
  <si>
    <t xml:space="preserve"> D74:F74 copied to D75.</t>
  </si>
  <si>
    <t>E90.  =(D88=F88)</t>
  </si>
  <si>
    <t>D77.  =SUMPRODUCT(D74:D75,$B74:$B75)</t>
  </si>
  <si>
    <t>F77.  =SUMPRODUCT(F74:F75,$B74:$B75)</t>
  </si>
  <si>
    <t>DERIVATION OF EXPONENTIAL UTILITY FROM CONSTANT RISK TOLERANCE</t>
  </si>
  <si>
    <t>Suppose $1 is as good as the lottery (p[$2],(1-p)[$0]).</t>
  </si>
  <si>
    <t>So  p*U(2)+(1-p)*U(0)=U(1).</t>
  </si>
  <si>
    <t>COMPARE:</t>
  </si>
  <si>
    <t>Constant risk tolerance implies that, for any k</t>
  </si>
  <si>
    <t>RiskTol</t>
  </si>
  <si>
    <t>A</t>
  </si>
  <si>
    <t>we must also have  p*U(k+2)+(1-p)*U(k)=U(k+1).</t>
  </si>
  <si>
    <t>So for each k:  U(k+2) = (U(k+1)-(1-p)*U(k))/p.</t>
  </si>
  <si>
    <t>B</t>
  </si>
  <si>
    <t>Initial parameters</t>
  </si>
  <si>
    <t>Resulting utilities</t>
  </si>
  <si>
    <t>p</t>
  </si>
  <si>
    <t>k</t>
  </si>
  <si>
    <t>U(k)</t>
  </si>
  <si>
    <t>UTIL</t>
  </si>
  <si>
    <t>A*UTIL+B</t>
  </si>
  <si>
    <t>U(0)</t>
  </si>
  <si>
    <t>U(1)</t>
  </si>
  <si>
    <t>G7.  =1/LN(B9/(1-B9))</t>
  </si>
  <si>
    <t>E10.  =B10</t>
  </si>
  <si>
    <t>E11.  =B11</t>
  </si>
  <si>
    <t>E12.  =(E11-(1-$B$9)*E10)/$B$9</t>
  </si>
  <si>
    <t xml:space="preserve"> E12 copied down</t>
  </si>
  <si>
    <t>G10.  =-EXP(-D10/$H$9)</t>
  </si>
  <si>
    <t xml:space="preserve"> G10 copied down</t>
  </si>
  <si>
    <t>H5.  =(B11-B10)/(G11-G10)</t>
  </si>
  <si>
    <t>H7.  =E10-H5*G10</t>
  </si>
  <si>
    <t>H10.  =$H$5*G10+$H$7</t>
  </si>
  <si>
    <t xml:space="preserve"> H10 copied down</t>
  </si>
  <si>
    <t>H17.  =STDEV.S(D20:D420)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</si>
</sst>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b/>
      <sz val="10"/>
      <name val="Courier New"/>
      <family val="3"/>
    </font>
    <font>
      <b/>
      <sz val="10"/>
      <color indexed="10"/>
      <name val="Times New Roman"/>
      <family val="1"/>
    </font>
    <font>
      <sz val="10"/>
      <name val="Courier New"/>
      <family val="3"/>
    </font>
    <font>
      <b/>
      <i/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2" fontId="0" fillId="0" borderId="0" xfId="0" applyNumberFormat="1"/>
    <xf numFmtId="2" fontId="0" fillId="0" borderId="0" xfId="0" quotePrefix="1" applyNumberFormat="1" applyAlignment="1"/>
    <xf numFmtId="164" fontId="0" fillId="0" borderId="0" xfId="0" quotePrefix="1" applyNumberFormat="1" applyAlignment="1"/>
    <xf numFmtId="0" fontId="0" fillId="0" borderId="1" xfId="0" quotePrefix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0" xfId="0" quotePrefix="1" applyAlignment="1">
      <alignment horizontal="center"/>
    </xf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quotePrefix="1" applyAlignment="1"/>
    <xf numFmtId="0" fontId="0" fillId="0" borderId="7" xfId="0" applyBorder="1"/>
    <xf numFmtId="2" fontId="0" fillId="0" borderId="7" xfId="0" quotePrefix="1" applyNumberFormat="1" applyBorder="1" applyAlignme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/>
    <xf numFmtId="0" fontId="2" fillId="0" borderId="0" xfId="0" applyFont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0" fillId="0" borderId="0" xfId="0" quotePrefix="1" applyFont="1" applyAlignment="1">
      <alignment horizontal="left"/>
    </xf>
    <xf numFmtId="0" fontId="0" fillId="0" borderId="11" xfId="0" applyFont="1" applyBorder="1"/>
    <xf numFmtId="0" fontId="1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81304016735"/>
          <c:y val="0.22380939371198699"/>
          <c:w val="0.83984415046889804"/>
          <c:h val="0.7238091030685549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Figure1!$A$7:$A$25</c:f>
              <c:numCache>
                <c:formatCode>General</c:formatCode>
                <c:ptCount val="1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70</c:v>
                </c:pt>
              </c:numCache>
            </c:numRef>
          </c:xVal>
          <c:yVal>
            <c:numRef>
              <c:f>Figure1!$B$7:$B$25</c:f>
              <c:numCache>
                <c:formatCode>General</c:formatCode>
                <c:ptCount val="19"/>
                <c:pt idx="0">
                  <c:v>-1.729978226967575</c:v>
                </c:pt>
                <c:pt idx="1">
                  <c:v>-1.5084484667942322</c:v>
                </c:pt>
                <c:pt idx="2">
                  <c:v>-1.3152863669055401</c:v>
                </c:pt>
                <c:pt idx="3">
                  <c:v>-1.1468593492253267</c:v>
                </c:pt>
                <c:pt idx="4">
                  <c:v>-1</c:v>
                </c:pt>
                <c:pt idx="5">
                  <c:v>-0.87194650388077111</c:v>
                </c:pt>
                <c:pt idx="6">
                  <c:v>-0.76029070562989953</c:v>
                </c:pt>
                <c:pt idx="7">
                  <c:v>-0.66293282270703535</c:v>
                </c:pt>
                <c:pt idx="8">
                  <c:v>-0.57804195706721051</c:v>
                </c:pt>
                <c:pt idx="9">
                  <c:v>-0.50402166356115297</c:v>
                </c:pt>
                <c:pt idx="10">
                  <c:v>-0.43947992742231756</c:v>
                </c:pt>
                <c:pt idx="11">
                  <c:v>-0.38320298624166482</c:v>
                </c:pt>
                <c:pt idx="12">
                  <c:v>-0.33413250413009082</c:v>
                </c:pt>
                <c:pt idx="13">
                  <c:v>-0.29134566880916002</c:v>
                </c:pt>
                <c:pt idx="14">
                  <c:v>-0.25403783733895213</c:v>
                </c:pt>
                <c:pt idx="15">
                  <c:v>-0.22150740412113126</c:v>
                </c:pt>
                <c:pt idx="16">
                  <c:v>-0.19314260660712551</c:v>
                </c:pt>
                <c:pt idx="17">
                  <c:v>-0.1684100205815022</c:v>
                </c:pt>
                <c:pt idx="18">
                  <c:v>-0.14684452866452957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39-6444-ACEF-CE6588471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8971296"/>
        <c:axId val="-578967696"/>
      </c:scatterChart>
      <c:valAx>
        <c:axId val="-578971296"/>
        <c:scaling>
          <c:orientation val="minMax"/>
          <c:max val="70"/>
          <c:min val="-20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578967696"/>
        <c:crosses val="autoZero"/>
        <c:crossBetween val="midCat"/>
        <c:majorUnit val="10"/>
      </c:valAx>
      <c:valAx>
        <c:axId val="-578967696"/>
        <c:scaling>
          <c:orientation val="minMax"/>
        </c:scaling>
        <c:delete val="0"/>
        <c:axPos val="l"/>
        <c:numFmt formatCode="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5789712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50800</xdr:rowOff>
    </xdr:from>
    <xdr:to>
      <xdr:col>7</xdr:col>
      <xdr:colOff>647700</xdr:colOff>
      <xdr:row>17</xdr:row>
      <xdr:rowOff>139700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0.02656</cdr:x>
      <cdr:y>0.27023</cdr:y>
    </cdr:from>
    <cdr:to>
      <cdr:x>0.08328</cdr:x>
      <cdr:y>0.76336</cdr:y>
    </cdr:to>
    <cdr:sp macro="" textlink="Figure1!$I$1">
      <cdr:nvSpPr>
        <cdr:cNvPr id="2049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352" y="840811"/>
          <a:ext cx="184409" cy="153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="vert270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E43303C4-2268-1147-BE42-DE58AC73205E}" type="TxLink">
            <a:rPr lang="en-US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pPr algn="ctr" rtl="0">
              <a:defRPr sz="1000"/>
            </a:pPr>
            <a:t>Utility, with RiskTol = 36.49</a:t>
          </a:fld>
          <a:endParaRPr lang="en-US" sz="10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0.37842</cdr:x>
      <cdr:y>0.04161</cdr:y>
    </cdr:from>
    <cdr:to>
      <cdr:x>0.68115</cdr:x>
      <cdr:y>0.10087</cdr:y>
    </cdr:to>
    <cdr:sp macro="" textlink="">
      <cdr:nvSpPr>
        <cdr:cNvPr id="2050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0327" y="129463"/>
          <a:ext cx="984244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Monetary Income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zambrano/Dropbox/Simtools/sim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ce"/>
      <definedName name="CEPR"/>
      <definedName name="discrINV"/>
      <definedName name="risktol"/>
      <definedName name="STDEVPR"/>
      <definedName name="UINV"/>
      <definedName name="UTIL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baseColWidth="10" defaultColWidth="8.83203125" defaultRowHeight="14" x14ac:dyDescent="0.2"/>
  <cols>
    <col min="1" max="1" width="5.83203125" customWidth="1"/>
    <col min="2" max="3" width="10.83203125" customWidth="1"/>
    <col min="4" max="8" width="8.6640625" customWidth="1"/>
  </cols>
  <sheetData>
    <row r="1" spans="1:10" x14ac:dyDescent="0.2">
      <c r="A1" t="s">
        <v>0</v>
      </c>
      <c r="I1" s="14" t="str">
        <f>"Utility, with RiskTol = "&amp;ROUND(A2,2)</f>
        <v>Utility, with RiskTol = 36.49</v>
      </c>
    </row>
    <row r="2" spans="1:10" x14ac:dyDescent="0.2">
      <c r="A2">
        <f>[1]!risktol(20,-10,2)</f>
        <v>36.489104290541825</v>
      </c>
    </row>
    <row r="3" spans="1:10" x14ac:dyDescent="0.2">
      <c r="B3" s="8" t="s">
        <v>1</v>
      </c>
      <c r="C3" s="8" t="s">
        <v>2</v>
      </c>
    </row>
    <row r="4" spans="1:10" x14ac:dyDescent="0.2">
      <c r="B4" s="14">
        <f>0.5*[1]!UTIL(20,A2)+0.5*[1]!UTIL(-10,A2)</f>
        <v>-0.94666416198637537</v>
      </c>
      <c r="C4" s="14">
        <f>[1]!UTIL(2,A2)</f>
        <v>-0.9466641619875813</v>
      </c>
      <c r="J4" s="1"/>
    </row>
    <row r="5" spans="1:10" x14ac:dyDescent="0.2">
      <c r="J5" s="1"/>
    </row>
    <row r="6" spans="1:10" x14ac:dyDescent="0.2">
      <c r="A6" s="8" t="s">
        <v>3</v>
      </c>
      <c r="B6" s="8" t="s">
        <v>4</v>
      </c>
      <c r="C6" s="17" t="s">
        <v>5</v>
      </c>
      <c r="J6" s="1"/>
    </row>
    <row r="7" spans="1:10" x14ac:dyDescent="0.2">
      <c r="A7">
        <v>-20</v>
      </c>
      <c r="B7" s="14">
        <f>[1]!UTIL(A7,$A$2)</f>
        <v>-1.729978226967575</v>
      </c>
      <c r="C7" s="18">
        <f>[1]!UINV(B7,$A$2)</f>
        <v>-19.999999999999996</v>
      </c>
      <c r="J7" s="1"/>
    </row>
    <row r="8" spans="1:10" x14ac:dyDescent="0.2">
      <c r="A8">
        <v>-15</v>
      </c>
      <c r="B8" s="14">
        <f>[1]!UTIL(A8,$A$2)</f>
        <v>-1.5084484667942322</v>
      </c>
      <c r="C8" s="18">
        <f>[1]!UINV(B8,$A$2)</f>
        <v>-15</v>
      </c>
    </row>
    <row r="9" spans="1:10" x14ac:dyDescent="0.2">
      <c r="A9">
        <v>-10</v>
      </c>
      <c r="B9" s="14">
        <f>[1]!UTIL(A9,$A$2)</f>
        <v>-1.3152863669055401</v>
      </c>
      <c r="C9" s="18">
        <f>[1]!UINV(B9,$A$2)</f>
        <v>-10</v>
      </c>
    </row>
    <row r="10" spans="1:10" x14ac:dyDescent="0.2">
      <c r="A10">
        <v>-5</v>
      </c>
      <c r="B10" s="14">
        <f>[1]!UTIL(A10,$A$2)</f>
        <v>-1.1468593492253267</v>
      </c>
      <c r="C10" s="18">
        <f>[1]!UINV(B10,$A$2)</f>
        <v>-4.9999999999999982</v>
      </c>
    </row>
    <row r="11" spans="1:10" x14ac:dyDescent="0.2">
      <c r="A11">
        <v>0</v>
      </c>
      <c r="B11" s="14">
        <f>[1]!UTIL(A11,$A$2)</f>
        <v>-1</v>
      </c>
      <c r="C11" s="18">
        <f>[1]!UINV(B11,$A$2)</f>
        <v>0</v>
      </c>
    </row>
    <row r="12" spans="1:10" x14ac:dyDescent="0.2">
      <c r="A12">
        <v>5</v>
      </c>
      <c r="B12" s="14">
        <f>[1]!UTIL(A12,$A$2)</f>
        <v>-0.87194650388077111</v>
      </c>
      <c r="C12" s="18">
        <f>[1]!UINV(B12,$A$2)</f>
        <v>4.9999999999999982</v>
      </c>
    </row>
    <row r="13" spans="1:10" x14ac:dyDescent="0.2">
      <c r="A13">
        <v>10</v>
      </c>
      <c r="B13" s="14">
        <f>[1]!UTIL(A13,$A$2)</f>
        <v>-0.76029070562989953</v>
      </c>
      <c r="C13" s="18">
        <f>[1]!UINV(B13,$A$2)</f>
        <v>10</v>
      </c>
    </row>
    <row r="14" spans="1:10" x14ac:dyDescent="0.2">
      <c r="A14">
        <v>15</v>
      </c>
      <c r="B14" s="14">
        <f>[1]!UTIL(A14,$A$2)</f>
        <v>-0.66293282270703535</v>
      </c>
      <c r="C14" s="18">
        <f>[1]!UINV(B14,$A$2)</f>
        <v>15</v>
      </c>
    </row>
    <row r="15" spans="1:10" x14ac:dyDescent="0.2">
      <c r="A15">
        <v>20</v>
      </c>
      <c r="B15" s="14">
        <f>[1]!UTIL(A15,$A$2)</f>
        <v>-0.57804195706721051</v>
      </c>
      <c r="C15" s="18">
        <f>[1]!UINV(B15,$A$2)</f>
        <v>20</v>
      </c>
    </row>
    <row r="16" spans="1:10" x14ac:dyDescent="0.2">
      <c r="A16">
        <v>25</v>
      </c>
      <c r="B16" s="14">
        <f>[1]!UTIL(A16,$A$2)</f>
        <v>-0.50402166356115297</v>
      </c>
      <c r="C16" s="18">
        <f>[1]!UINV(B16,$A$2)</f>
        <v>25.000000000000004</v>
      </c>
    </row>
    <row r="17" spans="1:4" x14ac:dyDescent="0.2">
      <c r="A17">
        <v>30</v>
      </c>
      <c r="B17" s="14">
        <f>[1]!UTIL(A17,$A$2)</f>
        <v>-0.43947992742231756</v>
      </c>
      <c r="C17" s="18">
        <f>[1]!UINV(B17,$A$2)</f>
        <v>30</v>
      </c>
    </row>
    <row r="18" spans="1:4" x14ac:dyDescent="0.2">
      <c r="A18">
        <v>35</v>
      </c>
      <c r="B18" s="14">
        <f>[1]!UTIL(A18,$A$2)</f>
        <v>-0.38320298624166482</v>
      </c>
      <c r="C18" s="18">
        <f>[1]!UINV(B18,$A$2)</f>
        <v>35</v>
      </c>
    </row>
    <row r="19" spans="1:4" x14ac:dyDescent="0.2">
      <c r="A19">
        <v>40</v>
      </c>
      <c r="B19" s="14">
        <f>[1]!UTIL(A19,$A$2)</f>
        <v>-0.33413250413009082</v>
      </c>
      <c r="C19" s="18">
        <f>[1]!UINV(B19,$A$2)</f>
        <v>40</v>
      </c>
    </row>
    <row r="20" spans="1:4" x14ac:dyDescent="0.2">
      <c r="A20">
        <v>45</v>
      </c>
      <c r="B20" s="14">
        <f>[1]!UTIL(A20,$A$2)</f>
        <v>-0.29134566880916002</v>
      </c>
      <c r="C20" s="18">
        <f>[1]!UINV(B20,$A$2)</f>
        <v>45</v>
      </c>
      <c r="D20" s="1" t="s">
        <v>6</v>
      </c>
    </row>
    <row r="21" spans="1:4" x14ac:dyDescent="0.2">
      <c r="A21">
        <v>50</v>
      </c>
      <c r="B21" s="14">
        <f>[1]!UTIL(A21,$A$2)</f>
        <v>-0.25403783733895213</v>
      </c>
      <c r="C21" s="18">
        <f>[1]!UINV(B21,$A$2)</f>
        <v>49.999999999999993</v>
      </c>
      <c r="D21" t="s">
        <v>7</v>
      </c>
    </row>
    <row r="22" spans="1:4" x14ac:dyDescent="0.2">
      <c r="A22">
        <v>55</v>
      </c>
      <c r="B22" s="14">
        <f>[1]!UTIL(A22,$A$2)</f>
        <v>-0.22150740412113126</v>
      </c>
      <c r="C22" s="18">
        <f>[1]!UINV(B22,$A$2)</f>
        <v>55</v>
      </c>
      <c r="D22" t="s">
        <v>8</v>
      </c>
    </row>
    <row r="23" spans="1:4" x14ac:dyDescent="0.2">
      <c r="A23">
        <v>60</v>
      </c>
      <c r="B23" s="14">
        <f>[1]!UTIL(A23,$A$2)</f>
        <v>-0.19314260660712551</v>
      </c>
      <c r="C23" s="18">
        <f>[1]!UINV(B23,$A$2)</f>
        <v>60</v>
      </c>
      <c r="D23" t="s">
        <v>9</v>
      </c>
    </row>
    <row r="24" spans="1:4" x14ac:dyDescent="0.2">
      <c r="A24">
        <v>65</v>
      </c>
      <c r="B24" s="14">
        <f>[1]!UTIL(A24,$A$2)</f>
        <v>-0.1684100205815022</v>
      </c>
      <c r="C24" s="18">
        <f>[1]!UINV(B24,$A$2)</f>
        <v>65</v>
      </c>
      <c r="D24" t="s">
        <v>10</v>
      </c>
    </row>
    <row r="25" spans="1:4" x14ac:dyDescent="0.2">
      <c r="A25">
        <v>70</v>
      </c>
      <c r="B25" s="14">
        <f>[1]!UTIL(A25,$A$2)</f>
        <v>-0.14684452866452957</v>
      </c>
      <c r="C25" s="18">
        <f>[1]!UINV(B25,$A$2)</f>
        <v>70</v>
      </c>
      <c r="D25" s="19" t="s">
        <v>11</v>
      </c>
    </row>
    <row r="26" spans="1:4" x14ac:dyDescent="0.2">
      <c r="D26" s="1" t="s">
        <v>12</v>
      </c>
    </row>
    <row r="27" spans="1:4" x14ac:dyDescent="0.2">
      <c r="D27" s="1" t="s">
        <v>13</v>
      </c>
    </row>
  </sheetData>
  <phoneticPr fontId="0" type="noConversion"/>
  <printOptions headings="1" gridLines="1" gridLinesSet="0"/>
  <pageMargins left="1" right="1" top="0.75" bottom="0.75" header="0.5" footer="0.5"/>
  <pageSetup orientation="portrait"/>
  <headerFooter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zoomScale="150" zoomScaleNormal="150" zoomScalePageLayoutView="150" workbookViewId="0">
      <selection activeCell="A13" sqref="A13"/>
    </sheetView>
  </sheetViews>
  <sheetFormatPr baseColWidth="10" defaultColWidth="6.83203125" defaultRowHeight="14" x14ac:dyDescent="0.2"/>
  <cols>
    <col min="1" max="1" width="8.83203125" customWidth="1"/>
    <col min="2" max="2" width="6.6640625" customWidth="1"/>
    <col min="3" max="3" width="1.83203125" customWidth="1"/>
    <col min="4" max="4" width="7.83203125" customWidth="1"/>
    <col min="5" max="5" width="7.1640625" customWidth="1"/>
    <col min="6" max="6" width="7.83203125" customWidth="1"/>
    <col min="7" max="7" width="7.6640625" customWidth="1"/>
    <col min="8" max="10" width="7.83203125" customWidth="1"/>
    <col min="11" max="11" width="5.6640625" customWidth="1"/>
    <col min="12" max="12" width="7.83203125" customWidth="1"/>
    <col min="13" max="13" width="6.83203125" customWidth="1"/>
    <col min="14" max="14" width="7.83203125" customWidth="1"/>
  </cols>
  <sheetData>
    <row r="1" spans="1:14" x14ac:dyDescent="0.2">
      <c r="A1" s="1" t="s">
        <v>14</v>
      </c>
      <c r="F1" s="2" t="s">
        <v>15</v>
      </c>
      <c r="G1" s="2" t="s">
        <v>16</v>
      </c>
      <c r="H1" s="3">
        <v>20</v>
      </c>
    </row>
    <row r="2" spans="1:14" x14ac:dyDescent="0.2">
      <c r="A2" s="4">
        <f>[1]!risktol(H1,H2,H3)</f>
        <v>36.489104290541825</v>
      </c>
      <c r="G2" s="2" t="s">
        <v>17</v>
      </c>
      <c r="H2" s="3">
        <v>-10</v>
      </c>
      <c r="L2" s="1" t="s">
        <v>18</v>
      </c>
      <c r="N2" t="s">
        <v>19</v>
      </c>
    </row>
    <row r="3" spans="1:14" x14ac:dyDescent="0.2">
      <c r="G3" s="2" t="s">
        <v>20</v>
      </c>
      <c r="H3" s="3">
        <v>2</v>
      </c>
      <c r="I3" s="2" t="s">
        <v>21</v>
      </c>
      <c r="L3" s="4">
        <f>[1]!ce(H1:H2,A2)</f>
        <v>2.0000000000464873</v>
      </c>
      <c r="N3" s="5">
        <f>[1]!UTIL(I4,$A$2)</f>
        <v>-0.49039628505690841</v>
      </c>
    </row>
    <row r="4" spans="1:14" x14ac:dyDescent="0.2">
      <c r="A4" s="1" t="s">
        <v>22</v>
      </c>
      <c r="I4" s="3">
        <v>26</v>
      </c>
      <c r="M4" t="s">
        <v>23</v>
      </c>
    </row>
    <row r="5" spans="1:14" x14ac:dyDescent="0.2">
      <c r="A5" s="6" t="s">
        <v>24</v>
      </c>
      <c r="B5" s="7" t="s">
        <v>25</v>
      </c>
      <c r="D5" s="1" t="s">
        <v>26</v>
      </c>
      <c r="F5" s="1" t="s">
        <v>27</v>
      </c>
      <c r="I5" s="2" t="s">
        <v>28</v>
      </c>
      <c r="J5" s="8" t="s">
        <v>29</v>
      </c>
      <c r="M5" t="s">
        <v>30</v>
      </c>
    </row>
    <row r="6" spans="1:14" x14ac:dyDescent="0.2">
      <c r="A6" s="9">
        <v>24</v>
      </c>
      <c r="B6" s="10">
        <v>0.1</v>
      </c>
      <c r="D6" s="5">
        <f>[1]!UTIL(A6,$A$2)</f>
        <v>-0.51802561536426006</v>
      </c>
      <c r="F6" s="5">
        <f>-EXP(-A6/$A$2)</f>
        <v>-0.51802561536426006</v>
      </c>
      <c r="I6" s="4">
        <f>A6+$I$4</f>
        <v>50</v>
      </c>
      <c r="J6" s="5">
        <f>[1]!UTIL(I6,$A$2)</f>
        <v>-0.25403783733895213</v>
      </c>
      <c r="M6" t="s">
        <v>31</v>
      </c>
    </row>
    <row r="7" spans="1:14" x14ac:dyDescent="0.2">
      <c r="A7" s="9">
        <v>7.3333333333333357</v>
      </c>
      <c r="B7" s="10">
        <v>0.25</v>
      </c>
      <c r="D7" s="5">
        <f>[1]!UTIL(A7,$A$2)</f>
        <v>-0.81793432323246473</v>
      </c>
      <c r="F7" s="5">
        <f>-EXP(-A7/$A$2)</f>
        <v>-0.81793432323246473</v>
      </c>
      <c r="I7" s="4">
        <f>A7+$I$4</f>
        <v>33.333333333333336</v>
      </c>
      <c r="J7" s="5">
        <f>[1]!UTIL(I7,$A$2)</f>
        <v>-0.40111195353373724</v>
      </c>
      <c r="M7" t="s">
        <v>32</v>
      </c>
    </row>
    <row r="8" spans="1:14" x14ac:dyDescent="0.2">
      <c r="A8" s="9">
        <v>-1</v>
      </c>
      <c r="B8" s="10">
        <v>0.3</v>
      </c>
      <c r="D8" s="5">
        <f>[1]!UTIL(A8,$A$2)</f>
        <v>-1.027784424391925</v>
      </c>
      <c r="F8" s="5">
        <f>-EXP(-A8/$A$2)</f>
        <v>-1.027784424391925</v>
      </c>
      <c r="I8" s="4">
        <f>A8+$I$4</f>
        <v>25</v>
      </c>
      <c r="J8" s="5">
        <f>[1]!UTIL(I8,$A$2)</f>
        <v>-0.50402166356115297</v>
      </c>
      <c r="M8" t="s">
        <v>33</v>
      </c>
    </row>
    <row r="9" spans="1:14" x14ac:dyDescent="0.2">
      <c r="A9" s="9">
        <v>-6</v>
      </c>
      <c r="B9" s="10">
        <v>0.25</v>
      </c>
      <c r="D9" s="5">
        <f>[1]!UTIL(A9,$A$2)</f>
        <v>-1.1787241761020502</v>
      </c>
      <c r="F9" s="5">
        <f>-EXP(-A9/$A$2)</f>
        <v>-1.1787241761020502</v>
      </c>
      <c r="I9" s="4">
        <f>A9+$I$4</f>
        <v>20</v>
      </c>
      <c r="J9" s="5">
        <f>[1]!UTIL(I9,$A$2)</f>
        <v>-0.57804195706721051</v>
      </c>
      <c r="M9" s="3" t="s">
        <v>34</v>
      </c>
    </row>
    <row r="10" spans="1:14" x14ac:dyDescent="0.2">
      <c r="A10" s="11">
        <v>-9.3333333333333321</v>
      </c>
      <c r="B10" s="12">
        <v>0.1</v>
      </c>
      <c r="D10" s="5">
        <f>[1]!UTIL(A10,$A$2)</f>
        <v>-1.2914738910185315</v>
      </c>
      <c r="F10" s="5">
        <f>-EXP(-A10/$A$2)</f>
        <v>-1.2914738910185315</v>
      </c>
      <c r="I10" s="4">
        <f>A10+$I$4</f>
        <v>16.666666666666668</v>
      </c>
      <c r="J10" s="5">
        <f>[1]!UTIL(I10,$A$2)</f>
        <v>-0.63333399840347848</v>
      </c>
    </row>
    <row r="11" spans="1:14" x14ac:dyDescent="0.2">
      <c r="A11" s="13" t="s">
        <v>35</v>
      </c>
      <c r="B11" s="13" t="s">
        <v>36</v>
      </c>
      <c r="D11" s="13" t="s">
        <v>1</v>
      </c>
      <c r="E11" t="s">
        <v>37</v>
      </c>
      <c r="G11" s="8" t="s">
        <v>38</v>
      </c>
      <c r="I11" s="2" t="s">
        <v>39</v>
      </c>
      <c r="J11" s="8" t="s">
        <v>1</v>
      </c>
      <c r="L11" t="s">
        <v>40</v>
      </c>
      <c r="M11" s="8" t="s">
        <v>41</v>
      </c>
      <c r="N11" s="1" t="s">
        <v>42</v>
      </c>
    </row>
    <row r="12" spans="1:14" x14ac:dyDescent="0.2">
      <c r="A12" s="4">
        <f>SUMPRODUCT(A6:A10,$B$6:$B$10)</f>
        <v>1.5000000000000013</v>
      </c>
      <c r="B12" s="4">
        <f>[1]!CEPR(A6:A10,B6:B10,A2)</f>
        <v>0.42390551664310788</v>
      </c>
      <c r="D12" s="14">
        <f>SUMPRODUCT(D6:D10,$B$6:$B$10)</f>
        <v>-0.98844990278948541</v>
      </c>
      <c r="E12" s="4">
        <f>[1]!UINV(D12,$A$2)</f>
        <v>0.42390551664311193</v>
      </c>
      <c r="F12" s="4">
        <f>-A2*LN(-D12)</f>
        <v>0.42390551664311193</v>
      </c>
      <c r="G12" s="4">
        <f>A12-B12</f>
        <v>1.0760944833568935</v>
      </c>
      <c r="I12" s="4">
        <f>[1]!UINV(J12,$A$2)</f>
        <v>26.423905516643114</v>
      </c>
      <c r="J12" s="14">
        <f>SUMPRODUCT(J6:J10,$B$6:$B$10)</f>
        <v>-0.4847321602928259</v>
      </c>
      <c r="L12" s="5">
        <f>[1]!UTIL(E12,A2)</f>
        <v>-0.98844990278948541</v>
      </c>
      <c r="M12" s="4">
        <f>[1]!STDEVPR(A6:A10,B6:B10)</f>
        <v>9.316949906249123</v>
      </c>
      <c r="N12" s="4">
        <f>A12-(0.5/A2)*(M12^2)</f>
        <v>0.31052772816273366</v>
      </c>
    </row>
    <row r="13" spans="1:14" x14ac:dyDescent="0.2">
      <c r="A13" s="27" t="str">
        <f>IF(D22="","Make SimTable in A19:B420, copy D20 down!","")</f>
        <v>Make SimTable in A19:B420, copy D20 down!</v>
      </c>
    </row>
    <row r="14" spans="1:14" x14ac:dyDescent="0.2">
      <c r="A14" s="1" t="s">
        <v>43</v>
      </c>
      <c r="B14" s="1"/>
      <c r="G14" s="1" t="s">
        <v>44</v>
      </c>
    </row>
    <row r="15" spans="1:14" x14ac:dyDescent="0.2">
      <c r="B15" s="4">
        <f>AVERAGE(B20:B420)</f>
        <v>-0.99999999999999822</v>
      </c>
      <c r="C15" t="s">
        <v>45</v>
      </c>
      <c r="G15" s="2" t="s">
        <v>1</v>
      </c>
      <c r="H15" s="5">
        <f>AVERAGE(D20:D420)</f>
        <v>-1.0547041071254981</v>
      </c>
    </row>
    <row r="16" spans="1:14" x14ac:dyDescent="0.2">
      <c r="B16" s="4">
        <f>[1]!ce(B20:B420,A2)</f>
        <v>-1.9434191966467305</v>
      </c>
      <c r="C16" t="s">
        <v>46</v>
      </c>
      <c r="G16" s="2" t="s">
        <v>36</v>
      </c>
      <c r="H16" s="4">
        <f>[1]!UINV(H15,A2)</f>
        <v>-1.9434191966467294</v>
      </c>
    </row>
    <row r="17" spans="1:10" x14ac:dyDescent="0.2">
      <c r="B17" s="4">
        <f>B15-B16</f>
        <v>0.94341919664673224</v>
      </c>
      <c r="C17" t="s">
        <v>47</v>
      </c>
      <c r="G17" s="2" t="s">
        <v>48</v>
      </c>
      <c r="H17" s="4">
        <f>_xlfn.STDEV.S(D20:D420)</f>
        <v>0.33484303954167477</v>
      </c>
    </row>
    <row r="18" spans="1:10" x14ac:dyDescent="0.2">
      <c r="B18" s="1" t="s">
        <v>24</v>
      </c>
      <c r="G18" s="2" t="s">
        <v>49</v>
      </c>
      <c r="H18" s="14">
        <f>COUNT(D20:D420)</f>
        <v>2</v>
      </c>
    </row>
    <row r="19" spans="1:10" x14ac:dyDescent="0.2">
      <c r="A19" s="15" t="s">
        <v>50</v>
      </c>
      <c r="B19" s="16">
        <f ca="1">[1]!discrINV(RAND(),A6:A10,B6:B10)</f>
        <v>7.3333333333333357</v>
      </c>
      <c r="D19" t="s">
        <v>51</v>
      </c>
      <c r="G19" s="1" t="s">
        <v>52</v>
      </c>
    </row>
    <row r="20" spans="1:10" x14ac:dyDescent="0.2">
      <c r="A20">
        <v>0</v>
      </c>
      <c r="B20" s="3">
        <v>7.3333333333333357</v>
      </c>
      <c r="D20" s="5">
        <f>[1]!UTIL(B20,$A$2)</f>
        <v>-0.81793432323246473</v>
      </c>
      <c r="G20" s="2" t="s">
        <v>1</v>
      </c>
      <c r="H20" s="5">
        <f>H15-1.96*H17/H18^0.5</f>
        <v>-1.5187728835558438</v>
      </c>
      <c r="I20" s="5">
        <f>H15+1.96*H17/H18^0.5</f>
        <v>-0.59063533069515239</v>
      </c>
    </row>
    <row r="21" spans="1:10" x14ac:dyDescent="0.2">
      <c r="A21">
        <v>2.5000000000000001E-3</v>
      </c>
      <c r="B21" s="3">
        <v>-9.3333333333333321</v>
      </c>
      <c r="D21" s="5">
        <f>[1]!UTIL(B21,$A$2)</f>
        <v>-1.2914738910185315</v>
      </c>
      <c r="G21" s="2" t="s">
        <v>36</v>
      </c>
      <c r="H21" s="4">
        <f>[1]!UINV(H20,$A$2)</f>
        <v>-15.248895034110133</v>
      </c>
      <c r="I21" s="4">
        <f>[1]!UINV(I20,$A$2)</f>
        <v>19.21357466982483</v>
      </c>
    </row>
    <row r="23" spans="1:10" x14ac:dyDescent="0.2">
      <c r="E23" s="1" t="s">
        <v>53</v>
      </c>
    </row>
    <row r="24" spans="1:10" x14ac:dyDescent="0.2">
      <c r="E24" t="s">
        <v>54</v>
      </c>
    </row>
    <row r="25" spans="1:10" x14ac:dyDescent="0.2">
      <c r="E25" t="s">
        <v>55</v>
      </c>
      <c r="H25" s="1" t="s">
        <v>56</v>
      </c>
    </row>
    <row r="26" spans="1:10" x14ac:dyDescent="0.2">
      <c r="E26" t="s">
        <v>57</v>
      </c>
      <c r="H26" s="1" t="s">
        <v>58</v>
      </c>
    </row>
    <row r="27" spans="1:10" x14ac:dyDescent="0.2">
      <c r="E27" t="s">
        <v>59</v>
      </c>
    </row>
    <row r="28" spans="1:10" x14ac:dyDescent="0.2">
      <c r="E28" t="s">
        <v>60</v>
      </c>
      <c r="J28" s="2"/>
    </row>
    <row r="29" spans="1:10" x14ac:dyDescent="0.2">
      <c r="E29" t="s">
        <v>61</v>
      </c>
    </row>
    <row r="30" spans="1:10" x14ac:dyDescent="0.2">
      <c r="E30" t="s">
        <v>62</v>
      </c>
      <c r="H30" s="1" t="s">
        <v>63</v>
      </c>
    </row>
    <row r="31" spans="1:10" x14ac:dyDescent="0.2">
      <c r="E31" t="s">
        <v>64</v>
      </c>
    </row>
    <row r="32" spans="1:10" x14ac:dyDescent="0.2">
      <c r="E32" t="s">
        <v>65</v>
      </c>
      <c r="H32" s="1" t="s">
        <v>66</v>
      </c>
    </row>
    <row r="33" spans="5:9" x14ac:dyDescent="0.2">
      <c r="E33" t="s">
        <v>67</v>
      </c>
      <c r="H33" s="1" t="s">
        <v>68</v>
      </c>
    </row>
    <row r="34" spans="5:9" x14ac:dyDescent="0.2">
      <c r="E34" t="s">
        <v>69</v>
      </c>
    </row>
    <row r="35" spans="5:9" x14ac:dyDescent="0.2">
      <c r="E35" s="1" t="s">
        <v>70</v>
      </c>
    </row>
    <row r="36" spans="5:9" x14ac:dyDescent="0.2">
      <c r="E36" t="s">
        <v>71</v>
      </c>
    </row>
    <row r="37" spans="5:9" x14ac:dyDescent="0.2">
      <c r="E37" t="s">
        <v>72</v>
      </c>
    </row>
    <row r="38" spans="5:9" x14ac:dyDescent="0.2">
      <c r="E38" t="s">
        <v>73</v>
      </c>
      <c r="H38" t="s">
        <v>74</v>
      </c>
    </row>
    <row r="39" spans="5:9" x14ac:dyDescent="0.2">
      <c r="E39" t="s">
        <v>75</v>
      </c>
      <c r="H39" s="1" t="s">
        <v>76</v>
      </c>
    </row>
    <row r="40" spans="5:9" x14ac:dyDescent="0.2">
      <c r="E40" t="s">
        <v>77</v>
      </c>
    </row>
    <row r="41" spans="5:9" x14ac:dyDescent="0.2">
      <c r="E41" t="s">
        <v>78</v>
      </c>
    </row>
    <row r="42" spans="5:9" x14ac:dyDescent="0.2">
      <c r="E42" t="s">
        <v>229</v>
      </c>
      <c r="I42" t="s">
        <v>79</v>
      </c>
    </row>
    <row r="43" spans="5:9" x14ac:dyDescent="0.2">
      <c r="E43" t="s">
        <v>80</v>
      </c>
    </row>
    <row r="44" spans="5:9" x14ac:dyDescent="0.2">
      <c r="E44" t="s">
        <v>81</v>
      </c>
    </row>
    <row r="45" spans="5:9" x14ac:dyDescent="0.2">
      <c r="E45" t="s">
        <v>82</v>
      </c>
      <c r="H45" t="s">
        <v>83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/>
  </sheetViews>
  <sheetFormatPr baseColWidth="10" defaultColWidth="7.6640625" defaultRowHeight="14" x14ac:dyDescent="0.2"/>
  <cols>
    <col min="1" max="1" width="7.6640625" customWidth="1"/>
    <col min="2" max="2" width="2.1640625" customWidth="1"/>
    <col min="3" max="4" width="7.6640625" customWidth="1"/>
    <col min="5" max="5" width="2.1640625" customWidth="1"/>
    <col min="6" max="7" width="7.83203125" customWidth="1"/>
    <col min="8" max="8" width="5.83203125" customWidth="1"/>
    <col min="9" max="10" width="7.83203125" customWidth="1"/>
    <col min="11" max="11" width="5.83203125" customWidth="1"/>
  </cols>
  <sheetData>
    <row r="1" spans="1:19" x14ac:dyDescent="0.2">
      <c r="C1" s="8" t="s">
        <v>84</v>
      </c>
      <c r="F1" t="s">
        <v>85</v>
      </c>
      <c r="I1" t="s">
        <v>86</v>
      </c>
      <c r="M1" s="1" t="s">
        <v>87</v>
      </c>
    </row>
    <row r="2" spans="1:19" x14ac:dyDescent="0.2">
      <c r="C2">
        <v>10</v>
      </c>
      <c r="F2">
        <v>10000</v>
      </c>
      <c r="I2">
        <v>0.2</v>
      </c>
      <c r="M2" s="1" t="s">
        <v>88</v>
      </c>
    </row>
    <row r="4" spans="1:19" x14ac:dyDescent="0.2">
      <c r="C4" s="1" t="s">
        <v>89</v>
      </c>
      <c r="F4" s="1" t="s">
        <v>90</v>
      </c>
      <c r="I4" t="s">
        <v>91</v>
      </c>
      <c r="N4" s="8" t="s">
        <v>92</v>
      </c>
      <c r="R4" s="8" t="s">
        <v>93</v>
      </c>
    </row>
    <row r="5" spans="1:19" x14ac:dyDescent="0.2">
      <c r="A5" s="8" t="s">
        <v>94</v>
      </c>
      <c r="B5" s="13"/>
      <c r="C5" s="8" t="s">
        <v>95</v>
      </c>
      <c r="D5" s="8" t="s">
        <v>96</v>
      </c>
      <c r="F5" s="8" t="s">
        <v>38</v>
      </c>
      <c r="G5" s="1" t="s">
        <v>97</v>
      </c>
      <c r="H5" s="1"/>
      <c r="I5" s="8" t="s">
        <v>38</v>
      </c>
      <c r="J5" s="1" t="s">
        <v>97</v>
      </c>
      <c r="M5" t="s">
        <v>98</v>
      </c>
      <c r="N5" s="1" t="s">
        <v>99</v>
      </c>
      <c r="O5" s="1" t="s">
        <v>100</v>
      </c>
      <c r="P5" s="1"/>
      <c r="Q5" t="s">
        <v>98</v>
      </c>
      <c r="R5" s="1" t="s">
        <v>99</v>
      </c>
      <c r="S5" s="1" t="s">
        <v>100</v>
      </c>
    </row>
    <row r="6" spans="1:19" x14ac:dyDescent="0.2">
      <c r="A6">
        <v>1000</v>
      </c>
      <c r="C6">
        <f>A6+$C$2</f>
        <v>1010</v>
      </c>
      <c r="D6">
        <f>A6-$C$2</f>
        <v>990</v>
      </c>
      <c r="F6">
        <f>A6-[1]!ce(C6:D6,$F$2)</f>
        <v>4.9999991672393662E-3</v>
      </c>
      <c r="G6">
        <f>0.5*($C$2^2)/F6</f>
        <v>10000.001665521544</v>
      </c>
      <c r="I6">
        <f>A6-[1]!ce(C6:D6,$F$2,$I$2)</f>
        <v>4.9019602283806307E-3</v>
      </c>
      <c r="J6">
        <f>0.5*($C$2^2)/I6</f>
        <v>10200.001156785715</v>
      </c>
      <c r="M6" s="14">
        <f>([1]!UTIL(C6,$F$2)-[1]!UTIL(D6,$F$2))/(C6-D6)</f>
        <v>9.0483756884218719E-5</v>
      </c>
      <c r="N6" s="14">
        <f>([1]!UTIL(C6,$F$2)-2*[1]!UTIL(A6,$F$2)+[1]!UTIL(D6,$F$2))/(A6-D6)^2</f>
        <v>-9.0483749359826509E-9</v>
      </c>
      <c r="O6" s="14">
        <f>-M6/N6</f>
        <v>10000.000831573876</v>
      </c>
      <c r="P6" s="14"/>
      <c r="Q6" s="14">
        <f>([1]!UTIL(C6,$F$2,$I$2)-[1]!UTIL(D6,$F$2,$I$2))/(C6-D6)</f>
        <v>9.0573098394433708E-21</v>
      </c>
      <c r="R6" s="14">
        <f>([1]!UTIL(C6,$F$2,$I$2)-2*[1]!UTIL(A6,$F$2,$I$2)+[1]!UTIL(D6,$F$2,$I$2))/(A6-D6)^2</f>
        <v>-8.8797149140294552E-25</v>
      </c>
      <c r="S6" s="14">
        <f>-Q6/R6</f>
        <v>10200.000706253897</v>
      </c>
    </row>
    <row r="7" spans="1:19" x14ac:dyDescent="0.2">
      <c r="A7">
        <v>5000</v>
      </c>
      <c r="C7">
        <f>A7+$C$2</f>
        <v>5010</v>
      </c>
      <c r="D7">
        <f>A7-$C$2</f>
        <v>4990</v>
      </c>
      <c r="F7">
        <f>A7-[1]!ce(C7:D7,$F$2)</f>
        <v>4.9999991670119925E-3</v>
      </c>
      <c r="G7">
        <f>0.5*($C$2^2)/F7</f>
        <v>10000.001665976293</v>
      </c>
      <c r="I7">
        <f>A7-[1]!ce(C7:D7,$F$2,$I$2)</f>
        <v>4.5454541123035597E-3</v>
      </c>
      <c r="J7">
        <f>0.5*($C$2^2)/I7</f>
        <v>11000.001048225486</v>
      </c>
      <c r="M7" s="14">
        <f>([1]!UTIL(C7,$F$2)-[1]!UTIL(D7,$F$2))/(C7-D7)</f>
        <v>6.0653076080108281E-5</v>
      </c>
      <c r="N7" s="14">
        <f>([1]!UTIL(C7,$F$2)-2*[1]!UTIL(A7,$F$2)+[1]!UTIL(D7,$F$2))/(A7-D7)^2</f>
        <v>-6.0653071032312763E-9</v>
      </c>
      <c r="O7" s="14">
        <f>-M7/N7</f>
        <v>10000.000832240714</v>
      </c>
      <c r="P7" s="14"/>
      <c r="Q7" s="14">
        <f>([1]!UTIL(C7,$F$2,$I$2)-[1]!UTIL(D7,$F$2,$I$2))/(C7-D7)</f>
        <v>6.2092142569342945E-21</v>
      </c>
      <c r="R7" s="14">
        <f>([1]!UTIL(C7,$F$2,$I$2)-2*[1]!UTIL(A7,$F$2,$I$2)+[1]!UTIL(D7,$F$2,$I$2))/(A7-D7)^2</f>
        <v>-5.6447399464503106E-25</v>
      </c>
      <c r="S7" s="14">
        <f>-Q7/R7</f>
        <v>11000.000559527907</v>
      </c>
    </row>
    <row r="8" spans="1:19" x14ac:dyDescent="0.2">
      <c r="A8">
        <v>10000</v>
      </c>
      <c r="C8">
        <f>A8+$C$2</f>
        <v>10010</v>
      </c>
      <c r="D8">
        <f>A8-$C$2</f>
        <v>9990</v>
      </c>
      <c r="F8">
        <f>A8-[1]!ce(C8:D8,$F$2)</f>
        <v>4.9999991679214872E-3</v>
      </c>
      <c r="G8">
        <f>0.5*($C$2^2)/F8</f>
        <v>10000.001664157302</v>
      </c>
      <c r="I8">
        <f>A8-[1]!ce(C8:D8,$F$2,$I$2)</f>
        <v>4.1666663764772238E-3</v>
      </c>
      <c r="J8">
        <f>0.5*($C$2^2)/I8</f>
        <v>12000.000835745654</v>
      </c>
      <c r="M8" s="14">
        <f>([1]!UTIL(C8,$F$2)-[1]!UTIL(D8,$F$2))/(C8-D8)</f>
        <v>3.6787950248465261E-5</v>
      </c>
      <c r="N8" s="14">
        <f>([1]!UTIL(C8,$F$2)-2*[1]!UTIL(A8,$F$2)+[1]!UTIL(D8,$F$2))/(A8-D8)^2</f>
        <v>-3.6787947182981286E-9</v>
      </c>
      <c r="O8" s="14">
        <f>-M8/N8</f>
        <v>10000.000833284868</v>
      </c>
      <c r="P8" s="14"/>
      <c r="Q8" s="14">
        <f>([1]!UTIL(C8,$F$2,$I$2)-[1]!UTIL(D8,$F$2,$I$2))/(C8-D8)</f>
        <v>4.0187762783434152E-21</v>
      </c>
      <c r="R8" s="14">
        <f>([1]!UTIL(C8,$F$2,$I$2)-2*[1]!UTIL(A8,$F$2,$I$2)+[1]!UTIL(D8,$F$2,$I$2))/(A8-D8)^2</f>
        <v>-3.3489800510571794E-25</v>
      </c>
      <c r="S8" s="14">
        <f>-Q8/R8</f>
        <v>12000.000648181824</v>
      </c>
    </row>
    <row r="9" spans="1:19" x14ac:dyDescent="0.2">
      <c r="A9">
        <v>20000</v>
      </c>
      <c r="C9">
        <f>A9+$C$2</f>
        <v>20010</v>
      </c>
      <c r="D9">
        <f>A9-$C$2</f>
        <v>19990</v>
      </c>
      <c r="F9">
        <f>A9-[1]!ce(C9:D9,$F$2)</f>
        <v>4.9999991679214872E-3</v>
      </c>
      <c r="G9">
        <f>0.5*($C$2^2)/F9</f>
        <v>10000.001664157302</v>
      </c>
      <c r="I9">
        <f>A9-[1]!ce(C9:D9,$F$2,$I$2)</f>
        <v>3.571428434952395E-3</v>
      </c>
      <c r="J9">
        <f>0.5*($C$2^2)/I9</f>
        <v>14000.000534986631</v>
      </c>
      <c r="M9" s="14">
        <f>([1]!UTIL(C9,$F$2)-[1]!UTIL(D9,$F$2))/(C9-D9)</f>
        <v>1.35335305792475E-5</v>
      </c>
      <c r="N9" s="14">
        <f>([1]!UTIL(C9,$F$2)-2*[1]!UTIL(A9,$F$2)+[1]!UTIL(D9,$F$2))/(A9-D9)^2</f>
        <v>-1.3533529449882841E-9</v>
      </c>
      <c r="O9" s="14">
        <f>-M9/N9</f>
        <v>10000.000834493812</v>
      </c>
      <c r="P9" s="14"/>
      <c r="Q9" s="14">
        <f>([1]!UTIL(C9,$F$2,$I$2)-[1]!UTIL(D9,$F$2,$I$2))/(C9-D9)</f>
        <v>1.8593445105496262E-21</v>
      </c>
      <c r="R9" s="14">
        <f>([1]!UTIL(C9,$F$2,$I$2)-2*[1]!UTIL(A9,$F$2,$I$2)+[1]!UTIL(D9,$F$2,$I$2))/(A9-D9)^2</f>
        <v>-1.328103189605746E-25</v>
      </c>
      <c r="S9" s="14">
        <f>-Q9/R9</f>
        <v>14000.000339593957</v>
      </c>
    </row>
    <row r="10" spans="1:19" x14ac:dyDescent="0.2">
      <c r="A10">
        <v>50000</v>
      </c>
      <c r="C10">
        <f>A10+$C$2</f>
        <v>50010</v>
      </c>
      <c r="D10">
        <f>A10-$C$2</f>
        <v>49990</v>
      </c>
      <c r="F10">
        <f>A10-[1]!ce(C10:D10,$F$2)</f>
        <v>4.9999991679214872E-3</v>
      </c>
      <c r="G10">
        <f>0.5*($C$2^2)/F10</f>
        <v>10000.001664157302</v>
      </c>
      <c r="I10">
        <f>A10-[1]!ce(C10:D10,$F$2,$I$2)</f>
        <v>2.4999999004648998E-3</v>
      </c>
      <c r="J10">
        <f>0.5*($C$2^2)/I10</f>
        <v>20000.000796280834</v>
      </c>
      <c r="M10" s="14">
        <f>([1]!UTIL(C10,$F$2)-[1]!UTIL(D10,$F$2))/(C10-D10)</f>
        <v>6.7379481220788268E-7</v>
      </c>
      <c r="N10" s="14">
        <f>([1]!UTIL(C10,$F$2)-2*[1]!UTIL(A10,$F$2)+[1]!UTIL(D10,$F$2))/(A10-D10)^2</f>
        <v>-6.7379475610085398E-11</v>
      </c>
      <c r="O10" s="14">
        <f>-M10/N10</f>
        <v>10000.000832702068</v>
      </c>
      <c r="P10" s="14"/>
      <c r="Q10" s="14">
        <f>([1]!UTIL(C10,$F$2,$I$2)-[1]!UTIL(D10,$F$2,$I$2))/(C10-D10)</f>
        <v>3.1250001562334907E-22</v>
      </c>
      <c r="R10" s="14">
        <f>([1]!UTIL(C10,$F$2,$I$2)-2*[1]!UTIL(A10,$F$2,$I$2)+[1]!UTIL(D10,$F$2,$I$2))/(A10-D10)^2</f>
        <v>-1.5625000228298448E-26</v>
      </c>
      <c r="S10" s="14">
        <f>-Q10/R10</f>
        <v>20000.000707672316</v>
      </c>
    </row>
    <row r="12" spans="1:19" x14ac:dyDescent="0.2">
      <c r="A12" s="1" t="s">
        <v>101</v>
      </c>
      <c r="M12" t="s">
        <v>102</v>
      </c>
    </row>
    <row r="13" spans="1:19" x14ac:dyDescent="0.2">
      <c r="A13" t="s">
        <v>103</v>
      </c>
      <c r="M13" t="s">
        <v>104</v>
      </c>
    </row>
    <row r="14" spans="1:19" x14ac:dyDescent="0.2">
      <c r="A14" t="s">
        <v>105</v>
      </c>
      <c r="M14" t="s">
        <v>106</v>
      </c>
    </row>
    <row r="15" spans="1:19" x14ac:dyDescent="0.2">
      <c r="A15" t="s">
        <v>107</v>
      </c>
      <c r="M15" t="s">
        <v>108</v>
      </c>
    </row>
    <row r="16" spans="1:19" x14ac:dyDescent="0.2">
      <c r="A16" t="s">
        <v>109</v>
      </c>
      <c r="M16" t="s">
        <v>110</v>
      </c>
    </row>
    <row r="17" spans="1:13" x14ac:dyDescent="0.2">
      <c r="A17" t="s">
        <v>111</v>
      </c>
      <c r="M17" t="s">
        <v>112</v>
      </c>
    </row>
    <row r="18" spans="1:13" x14ac:dyDescent="0.2">
      <c r="A18" s="1" t="s">
        <v>113</v>
      </c>
      <c r="M18" t="s">
        <v>114</v>
      </c>
    </row>
    <row r="19" spans="1:13" x14ac:dyDescent="0.2">
      <c r="A19" t="s">
        <v>115</v>
      </c>
      <c r="M19" s="1" t="s">
        <v>116</v>
      </c>
    </row>
  </sheetData>
  <phoneticPr fontId="0" type="noConversion"/>
  <printOptions headings="1" gridLines="1"/>
  <pageMargins left="1" right="1" top="0.75" bottom="0.75" header="0.5" footer="0.5"/>
  <pageSetup orientation="portrait" horizontalDpi="4294967293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/>
  </sheetViews>
  <sheetFormatPr baseColWidth="10" defaultColWidth="8.83203125" defaultRowHeight="14" x14ac:dyDescent="0.2"/>
  <cols>
    <col min="1" max="1" width="9.83203125" customWidth="1"/>
    <col min="4" max="4" width="9.83203125" customWidth="1"/>
  </cols>
  <sheetData>
    <row r="1" spans="1:5" x14ac:dyDescent="0.2">
      <c r="A1" s="1" t="s">
        <v>117</v>
      </c>
    </row>
    <row r="2" spans="1:5" x14ac:dyDescent="0.2">
      <c r="A2">
        <v>5000</v>
      </c>
      <c r="B2" t="s">
        <v>118</v>
      </c>
      <c r="D2">
        <v>0</v>
      </c>
      <c r="E2" t="s">
        <v>119</v>
      </c>
    </row>
    <row r="3" spans="1:5" x14ac:dyDescent="0.2">
      <c r="A3" s="1" t="s">
        <v>120</v>
      </c>
    </row>
    <row r="4" spans="1:5" x14ac:dyDescent="0.2">
      <c r="A4" s="1" t="s">
        <v>121</v>
      </c>
    </row>
    <row r="5" spans="1:5" x14ac:dyDescent="0.2">
      <c r="A5" s="1" t="s">
        <v>122</v>
      </c>
    </row>
    <row r="6" spans="1:5" x14ac:dyDescent="0.2">
      <c r="A6" t="s">
        <v>123</v>
      </c>
    </row>
    <row r="8" spans="1:5" x14ac:dyDescent="0.2">
      <c r="A8" t="s">
        <v>124</v>
      </c>
      <c r="B8" s="1" t="s">
        <v>125</v>
      </c>
      <c r="D8" s="1" t="s">
        <v>126</v>
      </c>
    </row>
    <row r="9" spans="1:5" x14ac:dyDescent="0.2">
      <c r="A9" s="1" t="s">
        <v>127</v>
      </c>
      <c r="B9" s="1" t="s">
        <v>128</v>
      </c>
      <c r="D9" s="1" t="s">
        <v>129</v>
      </c>
    </row>
    <row r="10" spans="1:5" x14ac:dyDescent="0.2">
      <c r="A10">
        <f>D2</f>
        <v>0</v>
      </c>
      <c r="B10">
        <v>0</v>
      </c>
      <c r="D10" s="20">
        <f t="shared" ref="D10:D15" ca="1" si="0">IF($C$16&lt;B10,$A$2,$D$2)</f>
        <v>0</v>
      </c>
    </row>
    <row r="11" spans="1:5" x14ac:dyDescent="0.2">
      <c r="A11">
        <v>920</v>
      </c>
      <c r="B11" s="21">
        <v>0.25</v>
      </c>
      <c r="D11" s="20">
        <f t="shared" ca="1" si="0"/>
        <v>0</v>
      </c>
    </row>
    <row r="12" spans="1:5" x14ac:dyDescent="0.2">
      <c r="A12">
        <v>1000</v>
      </c>
      <c r="B12" s="22">
        <v>0.27</v>
      </c>
      <c r="D12" s="20">
        <f t="shared" ca="1" si="0"/>
        <v>0</v>
      </c>
    </row>
    <row r="13" spans="1:5" x14ac:dyDescent="0.2">
      <c r="A13">
        <v>2000</v>
      </c>
      <c r="B13" s="22">
        <v>0.5</v>
      </c>
      <c r="D13" s="20">
        <f t="shared" ca="1" si="0"/>
        <v>5000</v>
      </c>
    </row>
    <row r="14" spans="1:5" x14ac:dyDescent="0.2">
      <c r="A14">
        <v>3300</v>
      </c>
      <c r="B14" s="23">
        <v>0.75</v>
      </c>
      <c r="D14" s="20">
        <f t="shared" ca="1" si="0"/>
        <v>5000</v>
      </c>
    </row>
    <row r="15" spans="1:5" x14ac:dyDescent="0.2">
      <c r="A15">
        <f>A2</f>
        <v>5000</v>
      </c>
      <c r="B15">
        <v>1</v>
      </c>
      <c r="C15" s="8" t="s">
        <v>130</v>
      </c>
      <c r="D15" s="20">
        <f t="shared" ca="1" si="0"/>
        <v>5000</v>
      </c>
    </row>
    <row r="16" spans="1:5" x14ac:dyDescent="0.2">
      <c r="C16">
        <f ca="1">RAND()</f>
        <v>0.27587091355388305</v>
      </c>
    </row>
    <row r="17" spans="1:10" x14ac:dyDescent="0.2">
      <c r="A17" s="1" t="s">
        <v>131</v>
      </c>
    </row>
    <row r="18" spans="1:10" x14ac:dyDescent="0.2">
      <c r="A18" s="1"/>
    </row>
    <row r="19" spans="1:10" x14ac:dyDescent="0.2">
      <c r="A19" s="1" t="s">
        <v>132</v>
      </c>
      <c r="F19" s="1"/>
    </row>
    <row r="20" spans="1:10" x14ac:dyDescent="0.2">
      <c r="A20" t="s">
        <v>127</v>
      </c>
      <c r="B20" t="s">
        <v>133</v>
      </c>
      <c r="D20" s="1" t="s">
        <v>134</v>
      </c>
    </row>
    <row r="21" spans="1:10" x14ac:dyDescent="0.2">
      <c r="A21">
        <f>A12</f>
        <v>1000</v>
      </c>
      <c r="B21">
        <v>0.5</v>
      </c>
      <c r="D21">
        <f>VLOOKUP(A21,$A$10:$B$15,2,0)</f>
        <v>0.27</v>
      </c>
    </row>
    <row r="22" spans="1:10" x14ac:dyDescent="0.2">
      <c r="A22">
        <f>A13</f>
        <v>2000</v>
      </c>
      <c r="B22">
        <v>0.5</v>
      </c>
      <c r="D22">
        <f>VLOOKUP(A22,$A$10:$B$15,2,0)</f>
        <v>0.5</v>
      </c>
    </row>
    <row r="23" spans="1:10" x14ac:dyDescent="0.2">
      <c r="A23" s="1" t="s">
        <v>135</v>
      </c>
    </row>
    <row r="24" spans="1:10" x14ac:dyDescent="0.2">
      <c r="A24" t="s">
        <v>136</v>
      </c>
      <c r="C24" s="1"/>
      <c r="D24" s="2" t="s">
        <v>137</v>
      </c>
      <c r="E24" s="1" t="s">
        <v>138</v>
      </c>
      <c r="J24" s="1" t="s">
        <v>139</v>
      </c>
    </row>
    <row r="25" spans="1:10" x14ac:dyDescent="0.2">
      <c r="A25" s="20">
        <f ca="1">[1]!discrINV(RAND(),A21:A22,B21:B22)</f>
        <v>1000</v>
      </c>
      <c r="D25" s="20">
        <f ca="1">VLOOKUP(A25,$A$10:$D$15,4,0)</f>
        <v>0</v>
      </c>
      <c r="E25">
        <f>SUMPRODUCT(B21:B22,D21:D22)</f>
        <v>0.38500000000000001</v>
      </c>
      <c r="J25">
        <f>SUMPRODUCT(A21:A22,B21:B22)</f>
        <v>1500</v>
      </c>
    </row>
    <row r="27" spans="1:10" x14ac:dyDescent="0.2">
      <c r="A27" t="s">
        <v>140</v>
      </c>
    </row>
    <row r="28" spans="1:10" x14ac:dyDescent="0.2">
      <c r="A28" t="s">
        <v>127</v>
      </c>
      <c r="B28" t="s">
        <v>133</v>
      </c>
      <c r="C28" s="1"/>
      <c r="D28" s="1" t="s">
        <v>134</v>
      </c>
    </row>
    <row r="29" spans="1:10" x14ac:dyDescent="0.2">
      <c r="A29">
        <f>A10</f>
        <v>0</v>
      </c>
      <c r="B29">
        <v>0.6</v>
      </c>
      <c r="D29">
        <f>VLOOKUP(A29,$A$10:$B$15,2,0)</f>
        <v>0</v>
      </c>
    </row>
    <row r="30" spans="1:10" x14ac:dyDescent="0.2">
      <c r="A30">
        <v>5000</v>
      </c>
      <c r="B30">
        <v>0.4</v>
      </c>
      <c r="D30">
        <f>VLOOKUP(A30,$A$10:$B$15,2,0)</f>
        <v>1</v>
      </c>
    </row>
    <row r="31" spans="1:10" x14ac:dyDescent="0.2">
      <c r="A31" s="1" t="s">
        <v>141</v>
      </c>
    </row>
    <row r="32" spans="1:10" x14ac:dyDescent="0.2">
      <c r="A32" s="1" t="s">
        <v>142</v>
      </c>
      <c r="C32" s="1"/>
      <c r="D32" s="2" t="s">
        <v>137</v>
      </c>
      <c r="E32" s="1" t="s">
        <v>138</v>
      </c>
      <c r="J32" s="1" t="s">
        <v>143</v>
      </c>
    </row>
    <row r="33" spans="1:10" x14ac:dyDescent="0.2">
      <c r="A33" s="20">
        <f ca="1">[1]!discrINV(RAND(),A29:A30,B29:B30)</f>
        <v>5000</v>
      </c>
      <c r="D33" s="20">
        <f ca="1">VLOOKUP(A33,$A$10:$D$15,4,0)</f>
        <v>5000</v>
      </c>
      <c r="E33">
        <f>SUMPRODUCT(B29:B30,D29:D30)</f>
        <v>0.4</v>
      </c>
      <c r="J33">
        <f>SUMPRODUCT(A29:A30,B29:B30)</f>
        <v>2000</v>
      </c>
    </row>
    <row r="34" spans="1:10" x14ac:dyDescent="0.2">
      <c r="A34" s="20"/>
      <c r="D34" s="20"/>
    </row>
    <row r="35" spans="1:10" x14ac:dyDescent="0.2">
      <c r="A35" t="s">
        <v>144</v>
      </c>
    </row>
    <row r="36" spans="1:10" x14ac:dyDescent="0.2">
      <c r="A36" s="1" t="s">
        <v>145</v>
      </c>
    </row>
    <row r="37" spans="1:10" x14ac:dyDescent="0.2">
      <c r="A37" s="1" t="s">
        <v>146</v>
      </c>
    </row>
    <row r="38" spans="1:10" x14ac:dyDescent="0.2">
      <c r="A38" s="1" t="s">
        <v>147</v>
      </c>
    </row>
    <row r="39" spans="1:10" x14ac:dyDescent="0.2">
      <c r="A39" s="1" t="s">
        <v>148</v>
      </c>
    </row>
    <row r="40" spans="1:10" x14ac:dyDescent="0.2">
      <c r="A40" s="1" t="s">
        <v>149</v>
      </c>
    </row>
    <row r="41" spans="1:10" x14ac:dyDescent="0.2">
      <c r="A41" t="s">
        <v>150</v>
      </c>
    </row>
    <row r="42" spans="1:10" x14ac:dyDescent="0.2">
      <c r="A42" t="s">
        <v>151</v>
      </c>
    </row>
    <row r="43" spans="1:10" x14ac:dyDescent="0.2">
      <c r="A43" t="s">
        <v>152</v>
      </c>
      <c r="E43" s="1" t="s">
        <v>153</v>
      </c>
    </row>
    <row r="44" spans="1:10" x14ac:dyDescent="0.2">
      <c r="A44" t="s">
        <v>154</v>
      </c>
      <c r="E44" s="1" t="s">
        <v>155</v>
      </c>
    </row>
    <row r="45" spans="1:10" x14ac:dyDescent="0.2">
      <c r="A45" t="s">
        <v>156</v>
      </c>
    </row>
    <row r="46" spans="1:10" x14ac:dyDescent="0.2">
      <c r="A46" t="s">
        <v>157</v>
      </c>
    </row>
    <row r="47" spans="1:10" x14ac:dyDescent="0.2">
      <c r="A47" t="s">
        <v>158</v>
      </c>
      <c r="E47" s="1" t="s">
        <v>159</v>
      </c>
    </row>
    <row r="56" spans="1:6" x14ac:dyDescent="0.2">
      <c r="A56" s="1"/>
    </row>
    <row r="57" spans="1:6" x14ac:dyDescent="0.2">
      <c r="A57" t="s">
        <v>160</v>
      </c>
    </row>
    <row r="58" spans="1:6" x14ac:dyDescent="0.2">
      <c r="A58" s="1" t="s">
        <v>161</v>
      </c>
    </row>
    <row r="59" spans="1:6" x14ac:dyDescent="0.2">
      <c r="A59" s="1" t="s">
        <v>162</v>
      </c>
    </row>
    <row r="60" spans="1:6" x14ac:dyDescent="0.2">
      <c r="A60" s="1" t="s">
        <v>163</v>
      </c>
    </row>
    <row r="61" spans="1:6" x14ac:dyDescent="0.2">
      <c r="A61" s="1" t="s">
        <v>164</v>
      </c>
      <c r="C61">
        <v>10</v>
      </c>
    </row>
    <row r="62" spans="1:6" x14ac:dyDescent="0.2">
      <c r="A62" t="s">
        <v>165</v>
      </c>
      <c r="C62">
        <v>7</v>
      </c>
    </row>
    <row r="63" spans="1:6" x14ac:dyDescent="0.2">
      <c r="A63" s="1" t="s">
        <v>166</v>
      </c>
    </row>
    <row r="64" spans="1:6" x14ac:dyDescent="0.2">
      <c r="A64" t="s">
        <v>127</v>
      </c>
      <c r="D64" t="s">
        <v>167</v>
      </c>
      <c r="F64" s="1" t="s">
        <v>168</v>
      </c>
    </row>
    <row r="65" spans="1:7" x14ac:dyDescent="0.2">
      <c r="A65">
        <f t="shared" ref="A65:A70" si="1">A10</f>
        <v>0</v>
      </c>
      <c r="D65">
        <f t="shared" ref="D65:D70" si="2">B10</f>
        <v>0</v>
      </c>
      <c r="F65">
        <f t="shared" ref="F65:F70" si="3">D65*$C$61+$C$62</f>
        <v>7</v>
      </c>
    </row>
    <row r="66" spans="1:7" x14ac:dyDescent="0.2">
      <c r="A66">
        <f t="shared" si="1"/>
        <v>920</v>
      </c>
      <c r="D66">
        <f t="shared" si="2"/>
        <v>0.25</v>
      </c>
      <c r="F66">
        <f t="shared" si="3"/>
        <v>9.5</v>
      </c>
    </row>
    <row r="67" spans="1:7" x14ac:dyDescent="0.2">
      <c r="A67">
        <f t="shared" si="1"/>
        <v>1000</v>
      </c>
      <c r="D67">
        <f t="shared" si="2"/>
        <v>0.27</v>
      </c>
      <c r="F67">
        <f t="shared" si="3"/>
        <v>9.6999999999999993</v>
      </c>
    </row>
    <row r="68" spans="1:7" x14ac:dyDescent="0.2">
      <c r="A68">
        <f t="shared" si="1"/>
        <v>2000</v>
      </c>
      <c r="D68">
        <f t="shared" si="2"/>
        <v>0.5</v>
      </c>
      <c r="F68">
        <f t="shared" si="3"/>
        <v>12</v>
      </c>
    </row>
    <row r="69" spans="1:7" x14ac:dyDescent="0.2">
      <c r="A69">
        <f t="shared" si="1"/>
        <v>3300</v>
      </c>
      <c r="D69">
        <f t="shared" si="2"/>
        <v>0.75</v>
      </c>
      <c r="F69">
        <f t="shared" si="3"/>
        <v>14.5</v>
      </c>
    </row>
    <row r="70" spans="1:7" x14ac:dyDescent="0.2">
      <c r="A70">
        <f t="shared" si="1"/>
        <v>5000</v>
      </c>
      <c r="D70">
        <f t="shared" si="2"/>
        <v>1</v>
      </c>
      <c r="F70">
        <f t="shared" si="3"/>
        <v>17</v>
      </c>
    </row>
    <row r="72" spans="1:7" x14ac:dyDescent="0.2">
      <c r="A72" s="1" t="s">
        <v>132</v>
      </c>
    </row>
    <row r="73" spans="1:7" x14ac:dyDescent="0.2">
      <c r="A73" t="s">
        <v>127</v>
      </c>
      <c r="B73" t="s">
        <v>133</v>
      </c>
      <c r="D73" t="s">
        <v>169</v>
      </c>
      <c r="F73" t="s">
        <v>170</v>
      </c>
    </row>
    <row r="74" spans="1:7" x14ac:dyDescent="0.2">
      <c r="A74">
        <f>A21</f>
        <v>1000</v>
      </c>
      <c r="B74">
        <f>B21</f>
        <v>0.5</v>
      </c>
      <c r="D74">
        <f>VLOOKUP(A74,$A$65:$F$70,4,0)</f>
        <v>0.27</v>
      </c>
      <c r="F74">
        <f>VLOOKUP(A74,$A$65:$F$70,6,0)</f>
        <v>9.6999999999999993</v>
      </c>
    </row>
    <row r="75" spans="1:7" x14ac:dyDescent="0.2">
      <c r="A75">
        <f>A22</f>
        <v>2000</v>
      </c>
      <c r="B75">
        <f>B22</f>
        <v>0.5</v>
      </c>
      <c r="D75">
        <f>VLOOKUP(A75,$A$65:$F$70,4,0)</f>
        <v>0.5</v>
      </c>
      <c r="F75">
        <f>VLOOKUP(A75,$A$65:$F$70,6,0)</f>
        <v>12</v>
      </c>
    </row>
    <row r="76" spans="1:7" x14ac:dyDescent="0.2">
      <c r="D76" t="s">
        <v>171</v>
      </c>
      <c r="F76" t="s">
        <v>172</v>
      </c>
    </row>
    <row r="77" spans="1:7" x14ac:dyDescent="0.2">
      <c r="D77">
        <f>SUMPRODUCT(D74:D75,$B74:$B75)</f>
        <v>0.38500000000000001</v>
      </c>
      <c r="F77">
        <f>SUMPRODUCT(F74:F75,$B74:$B75)</f>
        <v>10.85</v>
      </c>
      <c r="G77">
        <f>D77*$C$61+$C$62</f>
        <v>10.85</v>
      </c>
    </row>
    <row r="79" spans="1:7" x14ac:dyDescent="0.2">
      <c r="A79" s="1" t="s">
        <v>140</v>
      </c>
    </row>
    <row r="80" spans="1:7" x14ac:dyDescent="0.2">
      <c r="A80" t="s">
        <v>127</v>
      </c>
      <c r="B80" t="s">
        <v>133</v>
      </c>
      <c r="D80" t="s">
        <v>169</v>
      </c>
      <c r="F80" t="s">
        <v>170</v>
      </c>
    </row>
    <row r="81" spans="1:7" x14ac:dyDescent="0.2">
      <c r="A81">
        <f>A29</f>
        <v>0</v>
      </c>
      <c r="B81">
        <f>B29</f>
        <v>0.6</v>
      </c>
      <c r="D81">
        <f>VLOOKUP(A81,$A$65:$F$70,4,0)</f>
        <v>0</v>
      </c>
      <c r="F81">
        <f>VLOOKUP(A81,$A$65:$F$70,6,0)</f>
        <v>7</v>
      </c>
    </row>
    <row r="82" spans="1:7" x14ac:dyDescent="0.2">
      <c r="A82">
        <f>A30</f>
        <v>5000</v>
      </c>
      <c r="B82">
        <f>B30</f>
        <v>0.4</v>
      </c>
      <c r="D82">
        <f>VLOOKUP(A82,$A$65:$F$70,4,0)</f>
        <v>1</v>
      </c>
      <c r="F82">
        <f>VLOOKUP(A82,$A$65:$F$70,6,0)</f>
        <v>17</v>
      </c>
    </row>
    <row r="83" spans="1:7" x14ac:dyDescent="0.2">
      <c r="D83" t="s">
        <v>171</v>
      </c>
      <c r="F83" t="s">
        <v>172</v>
      </c>
    </row>
    <row r="84" spans="1:7" x14ac:dyDescent="0.2">
      <c r="D84">
        <f>SUMPRODUCT(D81:D82,$B81:$B82)</f>
        <v>0.4</v>
      </c>
      <c r="F84">
        <f>SUMPRODUCT(F81:F82,$B81:$B82)</f>
        <v>11</v>
      </c>
      <c r="G84">
        <f>D84*$C$61+$C$62</f>
        <v>11</v>
      </c>
    </row>
    <row r="86" spans="1:7" x14ac:dyDescent="0.2">
      <c r="A86" s="1" t="s">
        <v>173</v>
      </c>
    </row>
    <row r="87" spans="1:7" x14ac:dyDescent="0.2">
      <c r="D87" t="s">
        <v>174</v>
      </c>
      <c r="F87" t="s">
        <v>175</v>
      </c>
    </row>
    <row r="88" spans="1:7" x14ac:dyDescent="0.2">
      <c r="D88" t="b">
        <f>(D77&gt;D84)</f>
        <v>0</v>
      </c>
      <c r="F88" t="b">
        <f>(F77&gt;F84)</f>
        <v>0</v>
      </c>
    </row>
    <row r="89" spans="1:7" x14ac:dyDescent="0.2">
      <c r="A89" s="1" t="s">
        <v>176</v>
      </c>
    </row>
    <row r="90" spans="1:7" x14ac:dyDescent="0.2">
      <c r="E90" t="b">
        <f>(D88=F88)</f>
        <v>1</v>
      </c>
      <c r="F90" t="s">
        <v>177</v>
      </c>
    </row>
    <row r="92" spans="1:7" x14ac:dyDescent="0.2">
      <c r="A92" t="s">
        <v>178</v>
      </c>
    </row>
    <row r="93" spans="1:7" x14ac:dyDescent="0.2">
      <c r="A93" s="1" t="s">
        <v>179</v>
      </c>
    </row>
    <row r="94" spans="1:7" x14ac:dyDescent="0.2">
      <c r="A94" t="s">
        <v>180</v>
      </c>
      <c r="C94" s="1"/>
    </row>
    <row r="95" spans="1:7" x14ac:dyDescent="0.2">
      <c r="A95" s="1" t="s">
        <v>181</v>
      </c>
      <c r="C95" s="1"/>
    </row>
    <row r="96" spans="1:7" x14ac:dyDescent="0.2">
      <c r="A96" s="1" t="s">
        <v>182</v>
      </c>
    </row>
    <row r="97" spans="1:5" x14ac:dyDescent="0.2">
      <c r="A97" s="1" t="s">
        <v>183</v>
      </c>
    </row>
    <row r="98" spans="1:5" x14ac:dyDescent="0.2">
      <c r="A98" s="1" t="s">
        <v>184</v>
      </c>
    </row>
    <row r="99" spans="1:5" x14ac:dyDescent="0.2">
      <c r="A99" s="1" t="s">
        <v>185</v>
      </c>
    </row>
    <row r="100" spans="1:5" x14ac:dyDescent="0.2">
      <c r="A100" s="1" t="s">
        <v>186</v>
      </c>
    </row>
    <row r="101" spans="1:5" x14ac:dyDescent="0.2">
      <c r="A101" t="s">
        <v>187</v>
      </c>
      <c r="E101" t="s">
        <v>188</v>
      </c>
    </row>
    <row r="102" spans="1:5" x14ac:dyDescent="0.2">
      <c r="A102" s="1" t="s">
        <v>189</v>
      </c>
      <c r="E102" s="1" t="s">
        <v>190</v>
      </c>
    </row>
    <row r="103" spans="1:5" x14ac:dyDescent="0.2">
      <c r="A103" t="s">
        <v>191</v>
      </c>
      <c r="E103" t="s">
        <v>192</v>
      </c>
    </row>
    <row r="104" spans="1:5" x14ac:dyDescent="0.2">
      <c r="A104" t="s">
        <v>193</v>
      </c>
      <c r="E104" t="s">
        <v>194</v>
      </c>
    </row>
    <row r="105" spans="1:5" x14ac:dyDescent="0.2">
      <c r="A105" t="s">
        <v>195</v>
      </c>
      <c r="E105" t="s">
        <v>196</v>
      </c>
    </row>
    <row r="106" spans="1:5" x14ac:dyDescent="0.2">
      <c r="A106" t="s">
        <v>197</v>
      </c>
    </row>
    <row r="107" spans="1:5" x14ac:dyDescent="0.2">
      <c r="A107" t="s">
        <v>198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4294967292"/>
  <rowBreaks count="1" manualBreakCount="1">
    <brk id="5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baseColWidth="10" defaultColWidth="9" defaultRowHeight="14" x14ac:dyDescent="0.2"/>
  <cols>
    <col min="1" max="3" width="10.6640625" style="24" customWidth="1"/>
    <col min="4" max="4" width="8.6640625" style="24" customWidth="1"/>
    <col min="5" max="5" width="8.83203125" style="24" customWidth="1"/>
    <col min="6" max="6" width="3.6640625" style="24" customWidth="1"/>
    <col min="7" max="8" width="8.83203125" style="24" customWidth="1"/>
    <col min="9" max="16384" width="9" style="24"/>
  </cols>
  <sheetData>
    <row r="1" spans="1:12" x14ac:dyDescent="0.2">
      <c r="A1" t="s">
        <v>199</v>
      </c>
      <c r="L1"/>
    </row>
    <row r="2" spans="1:12" x14ac:dyDescent="0.2">
      <c r="A2" s="25" t="s">
        <v>200</v>
      </c>
      <c r="J2"/>
      <c r="L2"/>
    </row>
    <row r="3" spans="1:12" x14ac:dyDescent="0.2">
      <c r="A3" s="25" t="s">
        <v>201</v>
      </c>
      <c r="G3" s="1" t="s">
        <v>202</v>
      </c>
      <c r="J3"/>
      <c r="L3"/>
    </row>
    <row r="4" spans="1:12" x14ac:dyDescent="0.2">
      <c r="A4" s="25" t="s">
        <v>203</v>
      </c>
      <c r="G4" s="8" t="s">
        <v>204</v>
      </c>
      <c r="H4" s="8" t="s">
        <v>205</v>
      </c>
      <c r="J4"/>
      <c r="L4"/>
    </row>
    <row r="5" spans="1:12" x14ac:dyDescent="0.2">
      <c r="A5" s="25" t="s">
        <v>206</v>
      </c>
      <c r="G5" s="24">
        <f>1/LN(B9/(1-B9))</f>
        <v>24.996666311036567</v>
      </c>
      <c r="H5" s="24">
        <f>(B11-B10)/(G11-G10)</f>
        <v>25.499999999999947</v>
      </c>
      <c r="L5"/>
    </row>
    <row r="6" spans="1:12" x14ac:dyDescent="0.2">
      <c r="A6" s="25" t="s">
        <v>207</v>
      </c>
      <c r="G6"/>
      <c r="H6" s="8" t="s">
        <v>208</v>
      </c>
      <c r="L6"/>
    </row>
    <row r="7" spans="1:12" x14ac:dyDescent="0.2">
      <c r="G7"/>
      <c r="H7" s="24">
        <f>E10-H5*G10</f>
        <v>25.499999999999947</v>
      </c>
      <c r="L7"/>
    </row>
    <row r="8" spans="1:12" x14ac:dyDescent="0.2">
      <c r="A8" s="24" t="s">
        <v>209</v>
      </c>
      <c r="D8" s="25" t="s">
        <v>210</v>
      </c>
      <c r="H8"/>
      <c r="L8"/>
    </row>
    <row r="9" spans="1:12" x14ac:dyDescent="0.2">
      <c r="A9" s="25" t="s">
        <v>211</v>
      </c>
      <c r="B9" s="26">
        <v>0.51</v>
      </c>
      <c r="D9" s="8" t="s">
        <v>212</v>
      </c>
      <c r="E9" s="8" t="s">
        <v>213</v>
      </c>
      <c r="G9" s="8" t="s">
        <v>214</v>
      </c>
      <c r="H9" s="8" t="s">
        <v>215</v>
      </c>
      <c r="L9"/>
    </row>
    <row r="10" spans="1:12" x14ac:dyDescent="0.2">
      <c r="A10" s="25" t="s">
        <v>216</v>
      </c>
      <c r="B10" s="24">
        <v>0</v>
      </c>
      <c r="D10" s="24">
        <v>0</v>
      </c>
      <c r="E10" s="24">
        <f>B10</f>
        <v>0</v>
      </c>
      <c r="G10" s="24">
        <f t="shared" ref="G10:G30" si="0">-EXP(-D10/$G$5)</f>
        <v>-1</v>
      </c>
      <c r="H10" s="24">
        <f t="shared" ref="H10:H30" si="1">$H$5*G10+$H$7</f>
        <v>0</v>
      </c>
    </row>
    <row r="11" spans="1:12" x14ac:dyDescent="0.2">
      <c r="A11" s="25" t="s">
        <v>217</v>
      </c>
      <c r="B11" s="24">
        <v>1</v>
      </c>
      <c r="D11" s="24">
        <v>1</v>
      </c>
      <c r="E11" s="24">
        <f>B11</f>
        <v>1</v>
      </c>
      <c r="G11" s="24">
        <f t="shared" si="0"/>
        <v>-0.96078431372549011</v>
      </c>
      <c r="H11" s="24">
        <f t="shared" si="1"/>
        <v>1</v>
      </c>
      <c r="I11"/>
    </row>
    <row r="12" spans="1:12" x14ac:dyDescent="0.2">
      <c r="D12" s="24">
        <v>2</v>
      </c>
      <c r="E12" s="24">
        <f t="shared" ref="E12:E30" si="2">(E11-(1-$B$9)*E10)/$B$9</f>
        <v>1.9607843137254901</v>
      </c>
      <c r="G12" s="24">
        <f t="shared" si="0"/>
        <v>-0.92310649750096108</v>
      </c>
      <c r="H12" s="24">
        <f t="shared" si="1"/>
        <v>1.9607843137254868</v>
      </c>
      <c r="I12"/>
    </row>
    <row r="13" spans="1:12" x14ac:dyDescent="0.2">
      <c r="D13" s="24">
        <v>3</v>
      </c>
      <c r="E13" s="24">
        <f t="shared" si="2"/>
        <v>2.883890811226451</v>
      </c>
      <c r="G13" s="24">
        <f t="shared" si="0"/>
        <v>-0.8869062426970018</v>
      </c>
      <c r="H13" s="24">
        <f t="shared" si="1"/>
        <v>2.883890811226447</v>
      </c>
      <c r="I13"/>
    </row>
    <row r="14" spans="1:12" x14ac:dyDescent="0.2">
      <c r="A14" s="25" t="s">
        <v>101</v>
      </c>
      <c r="D14" s="24">
        <v>4</v>
      </c>
      <c r="E14" s="24">
        <f t="shared" si="2"/>
        <v>3.7707970539234528</v>
      </c>
      <c r="G14" s="24">
        <f t="shared" si="0"/>
        <v>-0.85212560572849183</v>
      </c>
      <c r="H14" s="24">
        <f t="shared" si="1"/>
        <v>3.7707970539234488</v>
      </c>
      <c r="I14"/>
    </row>
    <row r="15" spans="1:12" x14ac:dyDescent="0.2">
      <c r="A15" s="25" t="s">
        <v>218</v>
      </c>
      <c r="D15" s="24">
        <v>5</v>
      </c>
      <c r="E15" s="24">
        <f t="shared" si="2"/>
        <v>4.6229226596519446</v>
      </c>
      <c r="G15" s="24">
        <f t="shared" si="0"/>
        <v>-0.81870891530776668</v>
      </c>
      <c r="H15" s="24">
        <f t="shared" si="1"/>
        <v>4.622922659651941</v>
      </c>
      <c r="I15"/>
    </row>
    <row r="16" spans="1:12" x14ac:dyDescent="0.2">
      <c r="A16" s="24" t="s">
        <v>219</v>
      </c>
      <c r="B16"/>
      <c r="D16" s="24">
        <v>6</v>
      </c>
      <c r="E16" s="24">
        <f t="shared" si="2"/>
        <v>5.4416315749597111</v>
      </c>
      <c r="G16" s="24">
        <f t="shared" si="0"/>
        <v>-0.78660268333491301</v>
      </c>
      <c r="H16" s="24">
        <f t="shared" si="1"/>
        <v>5.4416315749597075</v>
      </c>
      <c r="I16"/>
    </row>
    <row r="17" spans="1:9" x14ac:dyDescent="0.2">
      <c r="A17" s="24" t="s">
        <v>220</v>
      </c>
      <c r="B17"/>
      <c r="D17" s="24">
        <v>7</v>
      </c>
      <c r="E17" s="24">
        <f t="shared" si="2"/>
        <v>6.2282342582946244</v>
      </c>
      <c r="G17" s="24">
        <f t="shared" si="0"/>
        <v>-0.75575551928256346</v>
      </c>
      <c r="H17" s="24">
        <f t="shared" si="1"/>
        <v>6.22823425829462</v>
      </c>
      <c r="I17"/>
    </row>
    <row r="18" spans="1:9" x14ac:dyDescent="0.2">
      <c r="A18" s="24" t="s">
        <v>221</v>
      </c>
      <c r="B18"/>
      <c r="D18" s="24">
        <v>8</v>
      </c>
      <c r="E18" s="24">
        <f t="shared" si="2"/>
        <v>6.9839897775771886</v>
      </c>
      <c r="G18" s="24">
        <f t="shared" si="0"/>
        <v>-0.72611804793814916</v>
      </c>
      <c r="H18" s="24">
        <f t="shared" si="1"/>
        <v>6.9839897775771824</v>
      </c>
      <c r="I18"/>
    </row>
    <row r="19" spans="1:9" x14ac:dyDescent="0.2">
      <c r="A19" t="s">
        <v>222</v>
      </c>
      <c r="B19"/>
      <c r="D19" s="24">
        <v>9</v>
      </c>
      <c r="E19" s="24">
        <f t="shared" si="2"/>
        <v>7.7101078255153386</v>
      </c>
      <c r="G19" s="24">
        <f t="shared" si="0"/>
        <v>-0.69764283037194719</v>
      </c>
      <c r="H19" s="24">
        <f t="shared" si="1"/>
        <v>7.7101078255153297</v>
      </c>
      <c r="I19"/>
    </row>
    <row r="20" spans="1:9" x14ac:dyDescent="0.2">
      <c r="A20" s="24" t="s">
        <v>223</v>
      </c>
      <c r="D20" s="24">
        <v>10</v>
      </c>
      <c r="E20" s="24">
        <f t="shared" si="2"/>
        <v>8.4077506558872859</v>
      </c>
      <c r="G20" s="24">
        <f t="shared" si="0"/>
        <v>-0.67028428800441986</v>
      </c>
      <c r="H20" s="24">
        <f t="shared" si="1"/>
        <v>8.407750655887277</v>
      </c>
      <c r="I20"/>
    </row>
    <row r="21" spans="1:9" x14ac:dyDescent="0.2">
      <c r="A21" t="s">
        <v>224</v>
      </c>
      <c r="B21"/>
      <c r="D21" s="24">
        <v>11</v>
      </c>
      <c r="E21" s="24">
        <f t="shared" si="2"/>
        <v>9.078034943891705</v>
      </c>
      <c r="G21" s="24">
        <f t="shared" si="0"/>
        <v>-0.64399862965130528</v>
      </c>
      <c r="H21" s="24">
        <f t="shared" si="1"/>
        <v>9.0780349438916978</v>
      </c>
      <c r="I21"/>
    </row>
    <row r="22" spans="1:9" x14ac:dyDescent="0.2">
      <c r="A22" s="24" t="s">
        <v>225</v>
      </c>
      <c r="D22" s="24">
        <v>12</v>
      </c>
      <c r="E22" s="24">
        <f t="shared" si="2"/>
        <v>9.7220335735430101</v>
      </c>
      <c r="G22" s="24">
        <f t="shared" si="0"/>
        <v>-0.61874378142968545</v>
      </c>
      <c r="H22" s="24">
        <f t="shared" si="1"/>
        <v>9.7220335735430012</v>
      </c>
      <c r="I22"/>
    </row>
    <row r="23" spans="1:9" x14ac:dyDescent="0.2">
      <c r="A23" s="24" t="s">
        <v>226</v>
      </c>
      <c r="D23" s="24">
        <v>13</v>
      </c>
      <c r="E23" s="24">
        <f t="shared" si="2"/>
        <v>10.340777354972696</v>
      </c>
      <c r="G23" s="24">
        <f t="shared" si="0"/>
        <v>-0.59447931941283505</v>
      </c>
      <c r="H23" s="24">
        <f t="shared" si="1"/>
        <v>10.340777354972685</v>
      </c>
      <c r="I23"/>
    </row>
    <row r="24" spans="1:9" x14ac:dyDescent="0.2">
      <c r="A24" s="24" t="s">
        <v>227</v>
      </c>
      <c r="D24" s="24">
        <v>14</v>
      </c>
      <c r="E24" s="24">
        <f t="shared" si="2"/>
        <v>10.93525667438553</v>
      </c>
      <c r="G24" s="24">
        <f t="shared" si="0"/>
        <v>-0.57116640492605719</v>
      </c>
      <c r="H24" s="24">
        <f t="shared" si="1"/>
        <v>10.935256674385519</v>
      </c>
      <c r="I24"/>
    </row>
    <row r="25" spans="1:9" x14ac:dyDescent="0.2">
      <c r="A25" s="24" t="s">
        <v>228</v>
      </c>
      <c r="D25" s="24">
        <v>15</v>
      </c>
      <c r="E25" s="24">
        <f t="shared" si="2"/>
        <v>11.506423079311586</v>
      </c>
      <c r="G25" s="24">
        <f t="shared" si="0"/>
        <v>-0.54876772237993732</v>
      </c>
      <c r="H25" s="24">
        <f t="shared" si="1"/>
        <v>11.506423079311574</v>
      </c>
      <c r="I25"/>
    </row>
    <row r="26" spans="1:9" x14ac:dyDescent="0.2">
      <c r="A26"/>
      <c r="D26" s="24">
        <v>16</v>
      </c>
      <c r="E26" s="24">
        <f t="shared" si="2"/>
        <v>12.055190801691523</v>
      </c>
      <c r="G26" s="24">
        <f t="shared" si="0"/>
        <v>-0.52724741954150833</v>
      </c>
      <c r="H26" s="24">
        <f t="shared" si="1"/>
        <v>12.055190801691513</v>
      </c>
      <c r="I26"/>
    </row>
    <row r="27" spans="1:9" x14ac:dyDescent="0.2">
      <c r="D27" s="24">
        <v>17</v>
      </c>
      <c r="E27" s="24">
        <f t="shared" si="2"/>
        <v>12.58243822123303</v>
      </c>
      <c r="G27" s="24">
        <f t="shared" si="0"/>
        <v>-0.50657105014772363</v>
      </c>
      <c r="H27" s="24">
        <f t="shared" si="1"/>
        <v>12.582438221233021</v>
      </c>
      <c r="I27"/>
    </row>
    <row r="28" spans="1:9" x14ac:dyDescent="0.2">
      <c r="D28" s="24">
        <v>18</v>
      </c>
      <c r="E28" s="24">
        <f t="shared" si="2"/>
        <v>13.089009271380753</v>
      </c>
      <c r="G28" s="24">
        <f t="shared" si="0"/>
        <v>-0.48670551876938151</v>
      </c>
      <c r="H28" s="24">
        <f t="shared" si="1"/>
        <v>13.089009271380744</v>
      </c>
      <c r="I28"/>
    </row>
    <row r="29" spans="1:9" x14ac:dyDescent="0.2">
      <c r="D29" s="24">
        <v>19</v>
      </c>
      <c r="E29" s="24">
        <f t="shared" si="2"/>
        <v>13.575714790150135</v>
      </c>
      <c r="G29" s="24">
        <f t="shared" si="0"/>
        <v>-0.4676190278372489</v>
      </c>
      <c r="H29" s="24">
        <f t="shared" si="1"/>
        <v>13.575714790150125</v>
      </c>
      <c r="I29"/>
    </row>
    <row r="30" spans="1:9" x14ac:dyDescent="0.2">
      <c r="D30" s="24">
        <v>20</v>
      </c>
      <c r="E30" s="24">
        <f t="shared" si="2"/>
        <v>14.043333817987383</v>
      </c>
      <c r="G30" s="24">
        <f t="shared" si="0"/>
        <v>-0.44928102674559206</v>
      </c>
      <c r="H30" s="24">
        <f t="shared" si="1"/>
        <v>14.043333817987373</v>
      </c>
      <c r="I30"/>
    </row>
  </sheetData>
  <phoneticPr fontId="0" type="noConversion"/>
  <printOptions headings="1" gridLines="1" gridLinesSet="0"/>
  <pageMargins left="1" right="1" top="0.75" bottom="0.75" header="0.5" footer="0.5"/>
  <pageSetup orientation="portrait" horizont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Figure1</vt:lpstr>
      <vt:lpstr>Figure2</vt:lpstr>
      <vt:lpstr>Figure3</vt:lpstr>
      <vt:lpstr>Figure4</vt:lpstr>
      <vt:lpstr>Figure5</vt:lpstr>
      <vt:lpstr>Figure2!sim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2001-08-09T16:31:38Z</dcterms:created>
  <dcterms:modified xsi:type="dcterms:W3CDTF">2018-02-01T00:32:00Z</dcterms:modified>
</cp:coreProperties>
</file>