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05" windowHeight="6795" firstSheet="9" activeTab="12"/>
  </bookViews>
  <sheets>
    <sheet name="Governors" sheetId="1" r:id="rId1"/>
    <sheet name="Selectorate" sheetId="2" r:id="rId2"/>
    <sheet name="ProbabilisticVoting" sheetId="3" r:id="rId3"/>
    <sheet name="LedyardModel" sheetId="4" r:id="rId4"/>
    <sheet name="PoissonPivots" sheetId="5" r:id="rId5"/>
    <sheet name="JuryNoAbstain" sheetId="6" r:id="rId6"/>
    <sheet name="JuryAbstain" sheetId="7" r:id="rId7"/>
    <sheet name="Jury3Approval" sheetId="8" r:id="rId8"/>
    <sheet name="CriticalSector" sheetId="9" r:id="rId9"/>
    <sheet name="FavoredMinorities" sheetId="10" r:id="rId10"/>
    <sheet name="FerejohnAccountability" sheetId="11" r:id="rId11"/>
    <sheet name="Tiebout" sheetId="12" r:id="rId12"/>
    <sheet name="CapitalistLiberalizatn" sheetId="13" r:id="rId13"/>
  </sheets>
  <definedNames>
    <definedName name="solver_adj" localSheetId="12" hidden="1">'CapitalistLiberalizatn'!$A$14</definedName>
    <definedName name="solver_adj" localSheetId="8" hidden="1">'CriticalSector'!$H$13</definedName>
    <definedName name="solver_adj" localSheetId="10" hidden="1">'FerejohnAccountability'!$A$8</definedName>
    <definedName name="solver_adj" localSheetId="6" hidden="1">'JuryAbstain'!$B$11</definedName>
    <definedName name="solver_adj" localSheetId="5" hidden="1">'JuryNoAbstain'!$B$11</definedName>
    <definedName name="solver_adj" localSheetId="3" hidden="1">'LedyardModel'!$A$13</definedName>
    <definedName name="solver_adj" localSheetId="4" hidden="1">'PoissonPivots'!$A$1</definedName>
    <definedName name="solver_adj" localSheetId="1" hidden="1">'Selectorate'!$A$8:$A$9</definedName>
    <definedName name="solver_adj" localSheetId="11" hidden="1">'Tiebout'!$A$10:$A$11</definedName>
    <definedName name="solver_cvg" localSheetId="12" hidden="1">0.0001</definedName>
    <definedName name="solver_cvg" localSheetId="8" hidden="1">0.0001</definedName>
    <definedName name="solver_cvg" localSheetId="10" hidden="1">0.0001</definedName>
    <definedName name="solver_cvg" localSheetId="0" hidden="1">0.0001</definedName>
    <definedName name="solver_cvg" localSheetId="6" hidden="1">0.00001</definedName>
    <definedName name="solver_cvg" localSheetId="5" hidden="1">0.00001</definedName>
    <definedName name="solver_cvg" localSheetId="3" hidden="1">0.0001</definedName>
    <definedName name="solver_cvg" localSheetId="4" hidden="1">0.0001</definedName>
    <definedName name="solver_cvg" localSheetId="1" hidden="1">0.00001</definedName>
    <definedName name="solver_cvg" localSheetId="11" hidden="1">0.0000001</definedName>
    <definedName name="solver_drv" localSheetId="12" hidden="1">1</definedName>
    <definedName name="solver_drv" localSheetId="8" hidden="1">1</definedName>
    <definedName name="solver_drv" localSheetId="10" hidden="1">1</definedName>
    <definedName name="solver_drv" localSheetId="0" hidden="1">1</definedName>
    <definedName name="solver_drv" localSheetId="6" hidden="1">1</definedName>
    <definedName name="solver_drv" localSheetId="5" hidden="1">1</definedName>
    <definedName name="solver_drv" localSheetId="3" hidden="1">1</definedName>
    <definedName name="solver_drv" localSheetId="4" hidden="1">1</definedName>
    <definedName name="solver_drv" localSheetId="1" hidden="1">1</definedName>
    <definedName name="solver_drv" localSheetId="11" hidden="1">2</definedName>
    <definedName name="solver_est" localSheetId="12" hidden="1">1</definedName>
    <definedName name="solver_est" localSheetId="8" hidden="1">1</definedName>
    <definedName name="solver_est" localSheetId="10" hidden="1">1</definedName>
    <definedName name="solver_est" localSheetId="0" hidden="1">1</definedName>
    <definedName name="solver_est" localSheetId="6" hidden="1">1</definedName>
    <definedName name="solver_est" localSheetId="5" hidden="1">1</definedName>
    <definedName name="solver_est" localSheetId="3" hidden="1">1</definedName>
    <definedName name="solver_est" localSheetId="4" hidden="1">1</definedName>
    <definedName name="solver_est" localSheetId="1" hidden="1">1</definedName>
    <definedName name="solver_est" localSheetId="11" hidden="1">1</definedName>
    <definedName name="solver_itr" localSheetId="12" hidden="1">100</definedName>
    <definedName name="solver_itr" localSheetId="8" hidden="1">100</definedName>
    <definedName name="solver_itr" localSheetId="10" hidden="1">100</definedName>
    <definedName name="solver_itr" localSheetId="0" hidden="1">100</definedName>
    <definedName name="solver_itr" localSheetId="6" hidden="1">100</definedName>
    <definedName name="solver_itr" localSheetId="5" hidden="1">100</definedName>
    <definedName name="solver_itr" localSheetId="3" hidden="1">100</definedName>
    <definedName name="solver_itr" localSheetId="4" hidden="1">100</definedName>
    <definedName name="solver_itr" localSheetId="1" hidden="1">100</definedName>
    <definedName name="solver_itr" localSheetId="11" hidden="1">100</definedName>
    <definedName name="solver_lhs1" localSheetId="12" hidden="1">'CapitalistLiberalizatn'!$A$14</definedName>
    <definedName name="solver_lhs1" localSheetId="10" hidden="1">'FerejohnAccountability'!$E$37</definedName>
    <definedName name="solver_lhs1" localSheetId="3" hidden="1">'LedyardModel'!$A$13</definedName>
    <definedName name="solver_lhs1" localSheetId="1" hidden="1">'Selectorate'!$B$22</definedName>
    <definedName name="solver_lhs1" localSheetId="11" hidden="1">'Tiebout'!$A$10:$A$11</definedName>
    <definedName name="solver_lhs2" localSheetId="10" hidden="1">'FerejohnAccountability'!$A$8:$A$9</definedName>
    <definedName name="solver_lhs2" localSheetId="1" hidden="1">'Selectorate'!$A$8:$A$9</definedName>
    <definedName name="solver_lhs2" localSheetId="11" hidden="1">'Tiebout'!$B$12</definedName>
    <definedName name="solver_lhs3" localSheetId="1" hidden="1">'Selectorate'!$B$10</definedName>
    <definedName name="solver_lhs3" localSheetId="11" hidden="1">'Tiebout'!#REF!</definedName>
    <definedName name="solver_lin" localSheetId="12" hidden="1">2</definedName>
    <definedName name="solver_lin" localSheetId="8" hidden="1">2</definedName>
    <definedName name="solver_lin" localSheetId="10" hidden="1">2</definedName>
    <definedName name="solver_lin" localSheetId="0" hidden="1">2</definedName>
    <definedName name="solver_lin" localSheetId="6" hidden="1">2</definedName>
    <definedName name="solver_lin" localSheetId="5" hidden="1">2</definedName>
    <definedName name="solver_lin" localSheetId="3" hidden="1">2</definedName>
    <definedName name="solver_lin" localSheetId="4" hidden="1">2</definedName>
    <definedName name="solver_lin" localSheetId="1" hidden="1">2</definedName>
    <definedName name="solver_lin" localSheetId="11" hidden="1">2</definedName>
    <definedName name="solver_neg" localSheetId="12" hidden="1">2</definedName>
    <definedName name="solver_neg" localSheetId="8" hidden="1">2</definedName>
    <definedName name="solver_neg" localSheetId="10" hidden="1">2</definedName>
    <definedName name="solver_neg" localSheetId="0" hidden="1">2</definedName>
    <definedName name="solver_neg" localSheetId="6" hidden="1">2</definedName>
    <definedName name="solver_neg" localSheetId="5" hidden="1">2</definedName>
    <definedName name="solver_neg" localSheetId="3" hidden="1">2</definedName>
    <definedName name="solver_neg" localSheetId="4" hidden="1">2</definedName>
    <definedName name="solver_neg" localSheetId="1" hidden="1">2</definedName>
    <definedName name="solver_neg" localSheetId="11" hidden="1">2</definedName>
    <definedName name="solver_num" localSheetId="12" hidden="1">1</definedName>
    <definedName name="solver_num" localSheetId="8" hidden="1">0</definedName>
    <definedName name="solver_num" localSheetId="10" hidden="1">0</definedName>
    <definedName name="solver_num" localSheetId="0" hidden="1">0</definedName>
    <definedName name="solver_num" localSheetId="6" hidden="1">0</definedName>
    <definedName name="solver_num" localSheetId="5" hidden="1">0</definedName>
    <definedName name="solver_num" localSheetId="3" hidden="1">1</definedName>
    <definedName name="solver_num" localSheetId="4" hidden="1">0</definedName>
    <definedName name="solver_num" localSheetId="1" hidden="1">3</definedName>
    <definedName name="solver_num" localSheetId="11" hidden="1">2</definedName>
    <definedName name="solver_nwt" localSheetId="12" hidden="1">1</definedName>
    <definedName name="solver_nwt" localSheetId="8" hidden="1">1</definedName>
    <definedName name="solver_nwt" localSheetId="10" hidden="1">1</definedName>
    <definedName name="solver_nwt" localSheetId="0" hidden="1">1</definedName>
    <definedName name="solver_nwt" localSheetId="6" hidden="1">1</definedName>
    <definedName name="solver_nwt" localSheetId="5" hidden="1">1</definedName>
    <definedName name="solver_nwt" localSheetId="3" hidden="1">1</definedName>
    <definedName name="solver_nwt" localSheetId="4" hidden="1">1</definedName>
    <definedName name="solver_nwt" localSheetId="1" hidden="1">1</definedName>
    <definedName name="solver_nwt" localSheetId="11" hidden="1">1</definedName>
    <definedName name="solver_opt" localSheetId="12" hidden="1">'CapitalistLiberalizatn'!$A$18</definedName>
    <definedName name="solver_opt" localSheetId="8" hidden="1">'CriticalSector'!$E$20</definedName>
    <definedName name="solver_opt" localSheetId="10" hidden="1">'FerejohnAccountability'!$B$13</definedName>
    <definedName name="solver_opt" localSheetId="6" hidden="1">'JuryAbstain'!$B$24</definedName>
    <definedName name="solver_opt" localSheetId="5" hidden="1">'JuryNoAbstain'!$B$25</definedName>
    <definedName name="solver_opt" localSheetId="3" hidden="1">'LedyardModel'!$E$19</definedName>
    <definedName name="solver_opt" localSheetId="4" hidden="1">'PoissonPivots'!$A$11</definedName>
    <definedName name="solver_opt" localSheetId="1" hidden="1">'Selectorate'!$B$11</definedName>
    <definedName name="solver_opt" localSheetId="11" hidden="1">'Tiebout'!$B$12</definedName>
    <definedName name="solver_pre" localSheetId="12" hidden="1">0.000001</definedName>
    <definedName name="solver_pre" localSheetId="8" hidden="1">0.000001</definedName>
    <definedName name="solver_pre" localSheetId="10" hidden="1">0.000001</definedName>
    <definedName name="solver_pre" localSheetId="0" hidden="1">0.000001</definedName>
    <definedName name="solver_pre" localSheetId="6" hidden="1">0.0000001</definedName>
    <definedName name="solver_pre" localSheetId="5" hidden="1">0.0000001</definedName>
    <definedName name="solver_pre" localSheetId="3" hidden="1">0.000001</definedName>
    <definedName name="solver_pre" localSheetId="4" hidden="1">0.000001</definedName>
    <definedName name="solver_pre" localSheetId="1" hidden="1">0.0000001</definedName>
    <definedName name="solver_pre" localSheetId="11" hidden="1">0.000000001</definedName>
    <definedName name="solver_rel1" localSheetId="12" hidden="1">3</definedName>
    <definedName name="solver_rel1" localSheetId="10" hidden="1">3</definedName>
    <definedName name="solver_rel1" localSheetId="3" hidden="1">3</definedName>
    <definedName name="solver_rel1" localSheetId="1" hidden="1">3</definedName>
    <definedName name="solver_rel1" localSheetId="11" hidden="1">3</definedName>
    <definedName name="solver_rel2" localSheetId="10" hidden="1">3</definedName>
    <definedName name="solver_rel2" localSheetId="1" hidden="1">3</definedName>
    <definedName name="solver_rel2" localSheetId="11" hidden="1">3</definedName>
    <definedName name="solver_rel3" localSheetId="1" hidden="1">3</definedName>
    <definedName name="solver_rel3" localSheetId="11" hidden="1">3</definedName>
    <definedName name="solver_rhs1" localSheetId="12" hidden="1">0</definedName>
    <definedName name="solver_rhs1" localSheetId="10" hidden="1">0</definedName>
    <definedName name="solver_rhs1" localSheetId="3" hidden="1">0</definedName>
    <definedName name="solver_rhs1" localSheetId="1" hidden="1">0</definedName>
    <definedName name="solver_rhs1" localSheetId="11" hidden="1">0</definedName>
    <definedName name="solver_rhs2" localSheetId="10" hidden="1">0</definedName>
    <definedName name="solver_rhs2" localSheetId="1" hidden="1">0</definedName>
    <definedName name="solver_rhs2" localSheetId="11" hidden="1">'Tiebout'!$B$18</definedName>
    <definedName name="solver_rhs3" localSheetId="1" hidden="1">0</definedName>
    <definedName name="solver_rhs3" localSheetId="11" hidden="1">'Tiebout'!$A$7</definedName>
    <definedName name="solver_scl" localSheetId="12" hidden="1">2</definedName>
    <definedName name="solver_scl" localSheetId="8" hidden="1">2</definedName>
    <definedName name="solver_scl" localSheetId="10" hidden="1">2</definedName>
    <definedName name="solver_scl" localSheetId="0" hidden="1">2</definedName>
    <definedName name="solver_scl" localSheetId="6" hidden="1">1</definedName>
    <definedName name="solver_scl" localSheetId="5" hidden="1">1</definedName>
    <definedName name="solver_scl" localSheetId="3" hidden="1">2</definedName>
    <definedName name="solver_scl" localSheetId="4" hidden="1">2</definedName>
    <definedName name="solver_scl" localSheetId="1" hidden="1">1</definedName>
    <definedName name="solver_scl" localSheetId="11" hidden="1">1</definedName>
    <definedName name="solver_sho" localSheetId="12" hidden="1">2</definedName>
    <definedName name="solver_sho" localSheetId="8" hidden="1">2</definedName>
    <definedName name="solver_sho" localSheetId="10" hidden="1">2</definedName>
    <definedName name="solver_sho" localSheetId="0" hidden="1">2</definedName>
    <definedName name="solver_sho" localSheetId="6" hidden="1">2</definedName>
    <definedName name="solver_sho" localSheetId="5" hidden="1">2</definedName>
    <definedName name="solver_sho" localSheetId="3" hidden="1">2</definedName>
    <definedName name="solver_sho" localSheetId="4" hidden="1">2</definedName>
    <definedName name="solver_sho" localSheetId="1" hidden="1">2</definedName>
    <definedName name="solver_sho" localSheetId="11" hidden="1">2</definedName>
    <definedName name="solver_tim" localSheetId="12" hidden="1">100</definedName>
    <definedName name="solver_tim" localSheetId="8" hidden="1">100</definedName>
    <definedName name="solver_tim" localSheetId="10" hidden="1">100</definedName>
    <definedName name="solver_tim" localSheetId="0" hidden="1">100</definedName>
    <definedName name="solver_tim" localSheetId="6" hidden="1">100</definedName>
    <definedName name="solver_tim" localSheetId="5" hidden="1">100</definedName>
    <definedName name="solver_tim" localSheetId="3" hidden="1">100</definedName>
    <definedName name="solver_tim" localSheetId="4" hidden="1">100</definedName>
    <definedName name="solver_tim" localSheetId="1" hidden="1">100</definedName>
    <definedName name="solver_tim" localSheetId="11" hidden="1">100</definedName>
    <definedName name="solver_tol" localSheetId="12" hidden="1">0.05</definedName>
    <definedName name="solver_tol" localSheetId="8" hidden="1">0.05</definedName>
    <definedName name="solver_tol" localSheetId="10" hidden="1">0.05</definedName>
    <definedName name="solver_tol" localSheetId="0" hidden="1">0.05</definedName>
    <definedName name="solver_tol" localSheetId="6" hidden="1">0.05</definedName>
    <definedName name="solver_tol" localSheetId="5" hidden="1">0.05</definedName>
    <definedName name="solver_tol" localSheetId="3" hidden="1">0.05</definedName>
    <definedName name="solver_tol" localSheetId="4" hidden="1">0.05</definedName>
    <definedName name="solver_tol" localSheetId="1" hidden="1">0.05</definedName>
    <definedName name="solver_tol" localSheetId="11" hidden="1">0.05</definedName>
    <definedName name="solver_typ" localSheetId="12" hidden="1">1</definedName>
    <definedName name="solver_typ" localSheetId="8" hidden="1">3</definedName>
    <definedName name="solver_typ" localSheetId="10" hidden="1">1</definedName>
    <definedName name="solver_typ" localSheetId="0" hidden="1">1</definedName>
    <definedName name="solver_typ" localSheetId="6" hidden="1">3</definedName>
    <definedName name="solver_typ" localSheetId="5" hidden="1">3</definedName>
    <definedName name="solver_typ" localSheetId="3" hidden="1">3</definedName>
    <definedName name="solver_typ" localSheetId="4" hidden="1">3</definedName>
    <definedName name="solver_typ" localSheetId="1" hidden="1">1</definedName>
    <definedName name="solver_typ" localSheetId="11" hidden="1">1</definedName>
    <definedName name="solver_val" localSheetId="12" hidden="1">0</definedName>
    <definedName name="solver_val" localSheetId="8" hidden="1">0</definedName>
    <definedName name="solver_val" localSheetId="10" hidden="1">0</definedName>
    <definedName name="solver_val" localSheetId="0" hidden="1">0</definedName>
    <definedName name="solver_val" localSheetId="6" hidden="1">0</definedName>
    <definedName name="solver_val" localSheetId="5" hidden="1">0</definedName>
    <definedName name="solver_val" localSheetId="3" hidden="1">0</definedName>
    <definedName name="solver_val" localSheetId="4" hidden="1">0.05</definedName>
    <definedName name="solver_val" localSheetId="1" hidden="1">0</definedName>
    <definedName name="solver_val" localSheetId="11" hidden="1">0</definedName>
  </definedNames>
  <calcPr fullCalcOnLoad="1"/>
</workbook>
</file>

<file path=xl/sharedStrings.xml><?xml version="1.0" encoding="utf-8"?>
<sst xmlns="http://schemas.openxmlformats.org/spreadsheetml/2006/main" count="871" uniqueCount="689">
  <si>
    <t>Parameters</t>
  </si>
  <si>
    <t>G</t>
  </si>
  <si>
    <t>expected profit from rebellion</t>
  </si>
  <si>
    <t>delta</t>
  </si>
  <si>
    <t>alpha</t>
  </si>
  <si>
    <t>beta</t>
  </si>
  <si>
    <t>gamma</t>
  </si>
  <si>
    <t>K</t>
  </si>
  <si>
    <t>U</t>
  </si>
  <si>
    <t>D</t>
  </si>
  <si>
    <t>exponent of public goods in utility function</t>
  </si>
  <si>
    <t>A</t>
  </si>
  <si>
    <t>coefficient of G^gamma in utility function</t>
  </si>
  <si>
    <t>R</t>
  </si>
  <si>
    <t>total resources available to leader</t>
  </si>
  <si>
    <t>S</t>
  </si>
  <si>
    <t>number of individuals in Selectorate</t>
  </si>
  <si>
    <t>discount factor over initial period when challenger's promises are credible</t>
  </si>
  <si>
    <t>The best that a challenger can promise:</t>
  </si>
  <si>
    <t>public goods</t>
  </si>
  <si>
    <t>x</t>
  </si>
  <si>
    <t>X</t>
  </si>
  <si>
    <t>private goods for each supporters</t>
  </si>
  <si>
    <t>V, incumbent's utility, to maximize</t>
  </si>
  <si>
    <t>A9.  =G9</t>
  </si>
  <si>
    <t>n = E(#voters)</t>
  </si>
  <si>
    <t>Party positions:</t>
  </si>
  <si>
    <t>Poisson random population</t>
  </si>
  <si>
    <t>Party 1 at A, Party 2 at C</t>
  </si>
  <si>
    <t>Type</t>
  </si>
  <si>
    <t>EFractn</t>
  </si>
  <si>
    <t>ui(A)</t>
  </si>
  <si>
    <t>ui(B)</t>
  </si>
  <si>
    <t>ui(C)</t>
  </si>
  <si>
    <t>diff for 1</t>
  </si>
  <si>
    <t>diff for 2</t>
  </si>
  <si>
    <t>a: A&gt;B&gt;C</t>
  </si>
  <si>
    <t>b: B&gt;C&gt;A</t>
  </si>
  <si>
    <t>c: C&gt;A&gt;B</t>
  </si>
  <si>
    <t>Utilitarian average</t>
  </si>
  <si>
    <t>Voting costs are uniform [0,delta], indep for each voter.</t>
  </si>
  <si>
    <t>Utilitarian weight for party 1</t>
  </si>
  <si>
    <t>Utilitarian weight for party 2</t>
  </si>
  <si>
    <t>n*tau(1) [guess]</t>
  </si>
  <si>
    <t>Pr(Vote 1)</t>
  </si>
  <si>
    <t>Pr(Vote 2)</t>
  </si>
  <si>
    <t>n*tau(2)</t>
  </si>
  <si>
    <t>a</t>
  </si>
  <si>
    <t>b</t>
  </si>
  <si>
    <t>pivProb(1)</t>
  </si>
  <si>
    <t>c</t>
  </si>
  <si>
    <t>pivProb(2)</t>
  </si>
  <si>
    <t>diff</t>
  </si>
  <si>
    <t>n*tau(1)</t>
  </si>
  <si>
    <t>SOLVER: set E19 to 0 by changing A13.</t>
  </si>
  <si>
    <t>FORMULAS FROM RANGE A1:G20</t>
  </si>
  <si>
    <t>F4.  =MAX(C4-E4,0)</t>
  </si>
  <si>
    <t>G4.  =MAX(E4-C4,0)</t>
  </si>
  <si>
    <t>F5.  =MAX(C5-E5,0)</t>
  </si>
  <si>
    <t>G5.  =MAX(E5-C5,0)</t>
  </si>
  <si>
    <t>F6.  =MAX(C6-E6,0)</t>
  </si>
  <si>
    <t>G6.  =MAX(E6-C6,0)</t>
  </si>
  <si>
    <t>C7.  =SUMPRODUCT(C4:C6,$B$4:$B$6)</t>
  </si>
  <si>
    <t>D7.  =SUMPRODUCT(D4:D6,$B$4:$B$6)</t>
  </si>
  <si>
    <t>E7.  =SUMPRODUCT(E4:E6,$B$4:$B$6)</t>
  </si>
  <si>
    <t>E10.  =SUMPRODUCT(B4:B6,F4:F6)</t>
  </si>
  <si>
    <t>E11.  =SUMPRODUCT(B4:B6,G4:G6)</t>
  </si>
  <si>
    <t>A14.  =A13*((E11/E10)^(2/3))</t>
  </si>
  <si>
    <t>F14.  =MIN(F4*$A$16/$A$9,1)</t>
  </si>
  <si>
    <t>G14.  =MIN(G4*$A$17/$A$9,1)</t>
  </si>
  <si>
    <t>F15.  =MIN(F5*$A$16/$A$9,1)</t>
  </si>
  <si>
    <t>G15.  =MIN(G5*$A$17/$A$9,1)</t>
  </si>
  <si>
    <t>A16.  =EXP(0-($A$13^0.5-$A$14^0.5)^2)*($A$13^0.5+$A$14^0.5)/(4*(A13*PI()*($A$13*$A$14)^0.5)^0.5)</t>
  </si>
  <si>
    <t>F16.  =MIN(F6*$A$16/$A$9,1)</t>
  </si>
  <si>
    <t>G16.  =MIN(G6*$A$17/$A$9,1)</t>
  </si>
  <si>
    <t>A17.  =EXP(0-($A$13^0.5-$A$14^0.5)^2)*($A$13^0.5+$A$14^0.5)/(4*(A14*PI()*($A$13*$A$14)^0.5)^0.5)</t>
  </si>
  <si>
    <t>A19.  =$A$1*SUMPRODUCT(B4:B6,F14:F16)</t>
  </si>
  <si>
    <t>C19.  =$A$1*E10*A16/$A$9</t>
  </si>
  <si>
    <t>E19.  =(A19-A13)</t>
  </si>
  <si>
    <t>A20.  =$A$1*SUMPRODUCT(B4:B6,G14:G16)</t>
  </si>
  <si>
    <t>C20.  =$A$1*E11*A17/$A$9</t>
  </si>
  <si>
    <t>type</t>
  </si>
  <si>
    <t>...</t>
  </si>
  <si>
    <t>P(signal|state)</t>
  </si>
  <si>
    <t>n = E(population size)</t>
  </si>
  <si>
    <t>signal1</t>
  </si>
  <si>
    <t>signal2</t>
  </si>
  <si>
    <t>P(state1)</t>
  </si>
  <si>
    <t>P(state2)</t>
  </si>
  <si>
    <t>state1</t>
  </si>
  <si>
    <t>state2</t>
  </si>
  <si>
    <t>P(state1|signal)</t>
  </si>
  <si>
    <t>Each voter gets $1 if winner=state, $0 if winner&lt;&gt;state.</t>
  </si>
  <si>
    <t>Stategy: P(vote|signal)</t>
  </si>
  <si>
    <t>E(votes)</t>
  </si>
  <si>
    <t>vote1</t>
  </si>
  <si>
    <t>vote2</t>
  </si>
  <si>
    <t>abstain</t>
  </si>
  <si>
    <t>In pivot events:</t>
  </si>
  <si>
    <t>likelyTurnout at geoMean</t>
  </si>
  <si>
    <t>offset(vote1)</t>
  </si>
  <si>
    <t>diff(mags)</t>
  </si>
  <si>
    <t>B25:</t>
  </si>
  <si>
    <t>Table(,B11)</t>
  </si>
  <si>
    <t>P(piv(vote)|state)</t>
  </si>
  <si>
    <t>P(piv|signal)</t>
  </si>
  <si>
    <t>E(gain(vote1)|signal,piv)</t>
  </si>
  <si>
    <t>E(gain(vote2)|signal,piv)</t>
  </si>
  <si>
    <t>diffs</t>
  </si>
  <si>
    <t>SOLVER: set B25 to value=0 by changing B11.</t>
  </si>
  <si>
    <t>FORMULAS</t>
  </si>
  <si>
    <t>B3.  =1-A3</t>
  </si>
  <si>
    <t>G11.  =$D$1*D11</t>
  </si>
  <si>
    <t>E3.  =1-D3</t>
  </si>
  <si>
    <t>H11.  =$D$1*E11</t>
  </si>
  <si>
    <t>B4.  =1-A4</t>
  </si>
  <si>
    <t>D12.  =$A$3*A12+$B$3*B12</t>
  </si>
  <si>
    <t>A6.  =D3*A3/(D3*A3+E3*A4)</t>
  </si>
  <si>
    <t>E12.  =$A$4*A12+$B$4*B12</t>
  </si>
  <si>
    <t>B6.  =D3*B3/(D3*B3+E3*B4)</t>
  </si>
  <si>
    <t>G12.  =$D$1*D12</t>
  </si>
  <si>
    <t>B10.  =1-B11</t>
  </si>
  <si>
    <t>H12.  =$D$1*E12</t>
  </si>
  <si>
    <t>D10.  =$A$3*A10+$B$3*B10</t>
  </si>
  <si>
    <t>D14.  =(D10*D11)^0.5</t>
  </si>
  <si>
    <t>E10.  =$A$4*A10+$B$4*B10</t>
  </si>
  <si>
    <t>E14.  =(E10*E11)^0.5</t>
  </si>
  <si>
    <t>G10.  =$D$1*D10</t>
  </si>
  <si>
    <t>D15.  =D10/D14</t>
  </si>
  <si>
    <t>H10.  =$D$1*E10</t>
  </si>
  <si>
    <t>E15.  =E10/E14</t>
  </si>
  <si>
    <t>A11.  =1-A10</t>
  </si>
  <si>
    <t>D16.  =2*D14-D10-D11</t>
  </si>
  <si>
    <t>D11.  =$A$3*A11+$B$3*B11</t>
  </si>
  <si>
    <t>E16.  =2*E14-E10-E11</t>
  </si>
  <si>
    <t>E11.  =$A$4*A11+$B$4*B11</t>
  </si>
  <si>
    <t>G16.  =D16-E16</t>
  </si>
  <si>
    <t>D19.  =EXP($D$1*D$16)*(1+D$14/D10)/(4*(PI()*$D$1*D$14)^0.5)</t>
  </si>
  <si>
    <t>E19.  =EXP($D$1*E$16)*(1+E$14/E10)/(4*(PI()*$D$1*E$14)^0.5)</t>
  </si>
  <si>
    <t>D20.  =EXP($D$1*D$16)*(1+D$14/D11)/(4*(PI()*$D$1*D$14)^0.5)</t>
  </si>
  <si>
    <t>E20.  =EXP($D$1*E$16)*(1+E$14/E11)/(4*(PI()*$D$1*E$14)^0.5)</t>
  </si>
  <si>
    <t>A22.  =A6*SUM($D$19:$D$20)+(1-A6)*SUM($E$19:$E$20)</t>
  </si>
  <si>
    <t>B22.  =B6*SUM($D$19:$D$20)+(1-B6)*SUM($E$19:$E$20)</t>
  </si>
  <si>
    <t>A23.  =(A6*D19-(1-A6)*E19)/A22</t>
  </si>
  <si>
    <t>B23.  =(B6*D19-(1-B6)*E19)/B22</t>
  </si>
  <si>
    <t>A24.  =((1-A6)*E20-A6*D20)/A22</t>
  </si>
  <si>
    <t>B24.  =((1-B6)*E20-B6*D20)/B22</t>
  </si>
  <si>
    <t>A25.  =(A23-A24)</t>
  </si>
  <si>
    <t>B25.  =(B23-B24)</t>
  </si>
  <si>
    <t>B24:</t>
  </si>
  <si>
    <t>SOLVER: Set B24 to value=0 by changing B11.</t>
  </si>
  <si>
    <t>A12.  =1-A10</t>
  </si>
  <si>
    <t>B12.  =1-B11</t>
  </si>
  <si>
    <t>K, #candidates</t>
  </si>
  <si>
    <t xml:space="preserve">  Scoring rule</t>
  </si>
  <si>
    <t>F(x), cumulative proby</t>
  </si>
  <si>
    <t>rank j</t>
  </si>
  <si>
    <t>score sj</t>
  </si>
  <si>
    <t>factor</t>
  </si>
  <si>
    <t>term</t>
  </si>
  <si>
    <t>best</t>
  </si>
  <si>
    <t>worst</t>
  </si>
  <si>
    <t>s-bar</t>
  </si>
  <si>
    <t xml:space="preserve">    factor = (K-1)!/[(K-j)!(j-1)!]</t>
  </si>
  <si>
    <t xml:space="preserve">    term = factor*F(x)^(K-j)*(1-F(x))^(j-1)*sj</t>
  </si>
  <si>
    <t>x, promised amount</t>
  </si>
  <si>
    <t>To show density</t>
  </si>
  <si>
    <t>F(x)</t>
  </si>
  <si>
    <t>f(x)</t>
  </si>
  <si>
    <t>Table(,E2)</t>
  </si>
  <si>
    <t>discount factor</t>
  </si>
  <si>
    <t>W</t>
  </si>
  <si>
    <t>value of being in office per period, before effort cost</t>
  </si>
  <si>
    <t>theta_0</t>
  </si>
  <si>
    <t>V</t>
  </si>
  <si>
    <t>theta~ = output/effort is Uniform[0,1] each period (measures favorability of political enviroment)</t>
  </si>
  <si>
    <t>(,A8)</t>
  </si>
  <si>
    <t>leader chooses effort after learning theta~ for this period</t>
  </si>
  <si>
    <t>costOfEffort=effort</t>
  </si>
  <si>
    <t>voter only observed his output = effort*theta~</t>
  </si>
  <si>
    <t>threshold of output performance that voter requires for re-election</t>
  </si>
  <si>
    <t>V, expected discounted value for incumbent (before seeing theta)</t>
  </si>
  <si>
    <t>theta_0, highest theta~ at which incumbent chooses effort=0</t>
  </si>
  <si>
    <t>U, voter's expected utility per period, maximize by choosing K</t>
  </si>
  <si>
    <t>SOLVER: max B13 by changing A8.</t>
  </si>
  <si>
    <t>(check zeroes</t>
  </si>
  <si>
    <t>)</t>
  </si>
  <si>
    <t>A9.  =B218</t>
  </si>
  <si>
    <t>B9.  =A2 + A8*LN(B10) + A1*(1-B10)*A9</t>
  </si>
  <si>
    <t>B10.  =MIN(1, A8/(A1*A9))</t>
  </si>
  <si>
    <t>B13.  =(1-B10)*A8</t>
  </si>
  <si>
    <t>F17.  =A9-B9</t>
  </si>
  <si>
    <t>G17.  =A1*A9 - A8/B10</t>
  </si>
  <si>
    <t>H17.  =B217/B218-1</t>
  </si>
  <si>
    <t>I17.  =A1^COUNT(B19:B218)</t>
  </si>
  <si>
    <t>A19.  =MIN(1, $A$8/($A$1*B18))</t>
  </si>
  <si>
    <t>B19.  =$A$2+$A$8*LN(A19)+$A$1*(1-A19)*B18</t>
  </si>
  <si>
    <t xml:space="preserve"> A19:B19 copied to A19:B218</t>
  </si>
  <si>
    <t>exponent of capital in production function</t>
  </si>
  <si>
    <t>exponent of publicGood/worker in production function</t>
  </si>
  <si>
    <t>beta=1-alpha-gamma, exponent of labor in production function</t>
  </si>
  <si>
    <t>publicGood that the leaders can provide</t>
  </si>
  <si>
    <t>F</t>
  </si>
  <si>
    <t>fixed capital (land) in district, controlled by leader</t>
  </si>
  <si>
    <t>r</t>
  </si>
  <si>
    <t>DECISON VARIABLES IN DISTRICT</t>
  </si>
  <si>
    <t>n</t>
  </si>
  <si>
    <t>number of workers in the district</t>
  </si>
  <si>
    <t>n_o</t>
  </si>
  <si>
    <t>V_o</t>
  </si>
  <si>
    <t>B3.  =1-A1-A2</t>
  </si>
  <si>
    <t>=($A$5+K317)^$A$1*L317^$B$3*$A$4^$A$2-$A$7*L317-$A$6*K317</t>
  </si>
  <si>
    <t>stdev of population size</t>
  </si>
  <si>
    <t>E fraction for 1</t>
  </si>
  <si>
    <t>E fraction for 2</t>
  </si>
  <si>
    <t>tau1</t>
  </si>
  <si>
    <t>tau2</t>
  </si>
  <si>
    <t>E(population size), Poisson</t>
  </si>
  <si>
    <t>E abstain</t>
  </si>
  <si>
    <t>E total for 1</t>
  </si>
  <si>
    <t>E total for 2</t>
  </si>
  <si>
    <t>k</t>
  </si>
  <si>
    <t>P(k for 1)</t>
  </si>
  <si>
    <t>E(votes for 1)</t>
  </si>
  <si>
    <t>E(Votes for 2)</t>
  </si>
  <si>
    <t>P(tie at k)</t>
  </si>
  <si>
    <t>Predicted ratio of pivot probys (tau2/tau1)^.5</t>
  </si>
  <si>
    <t>Geometric mean, most likely tie</t>
  </si>
  <si>
    <t>Predicted P(Piv1)</t>
  </si>
  <si>
    <t>Predicted P(Piv2)</t>
  </si>
  <si>
    <t>P(piv1)</t>
  </si>
  <si>
    <t>P(piv2)</t>
  </si>
  <si>
    <t>Ratio of pivot probys P(piv1)/P(piv2)</t>
  </si>
  <si>
    <t>limit of pivot magnitudes for large n</t>
  </si>
  <si>
    <t>LN(P(Piv1))/n,  magnitude of piv1</t>
  </si>
  <si>
    <t>LN(P(Piv2))/n,  magnitude of piv2</t>
  </si>
  <si>
    <t>B2.  =A1^0.5</t>
  </si>
  <si>
    <t>A4.  =1-A3</t>
  </si>
  <si>
    <t>B5.  =1-A3-A4</t>
  </si>
  <si>
    <t>A7.  =A1*A3</t>
  </si>
  <si>
    <t>A8.  =A1*A4</t>
  </si>
  <si>
    <t>B9.  =(A7*A8)^0.5</t>
  </si>
  <si>
    <t>A11.  =0.5*(SUM(K5:K255)+SUMPRODUCT(I5:I254,J6:J255))</t>
  </si>
  <si>
    <t>D11.  =EXP($A$19*$A$1)*($A$3^0.5+$A$4^0.5)/(4*(PI()*$B$9*A3)^0.5)</t>
  </si>
  <si>
    <t>A12.  =0.5*(SUM(K5:K255)+SUMPRODUCT(I6:I255,J5:J254))</t>
  </si>
  <si>
    <t>D12.  =EXP($A$19*$A$1)*($A$3^0.5+$A$4^0.5)/(4*(PI()*$B$9*A4)^0.5)</t>
  </si>
  <si>
    <t>A14.  =A11/A12</t>
  </si>
  <si>
    <t>A15.  =(A4/A3)^0.5</t>
  </si>
  <si>
    <t>A17.  =LN(A11)/$A$1</t>
  </si>
  <si>
    <t>A18.  =LN(A12)/$A$1</t>
  </si>
  <si>
    <t>A19.  =2*(A3*A4)^0.5-A3-A4</t>
  </si>
  <si>
    <t>B19.  =0-(A3^0.5-A4^0.5)^2</t>
  </si>
  <si>
    <t>I5.  =EXP(-I2)</t>
  </si>
  <si>
    <t>J5.  =EXP(-J2)</t>
  </si>
  <si>
    <t>K5.  =I5*J5</t>
  </si>
  <si>
    <t>I6.  =I5*I$2/$H6</t>
  </si>
  <si>
    <t>J6.  =J5*J$2/$H6</t>
  </si>
  <si>
    <t>K6.  =I6*J6</t>
  </si>
  <si>
    <t xml:space="preserve">  I6:K6 copied down 250 rows</t>
  </si>
  <si>
    <t>(large n) pivotMagnitude</t>
  </si>
  <si>
    <t>Large n limit:</t>
  </si>
  <si>
    <t xml:space="preserve">  E(voteShares)</t>
  </si>
  <si>
    <t>(large n)</t>
  </si>
  <si>
    <t>Set G16=0 by changing B11.</t>
  </si>
  <si>
    <t xml:space="preserve">     E(votes)</t>
  </si>
  <si>
    <t>Avg utility of selectors</t>
  </si>
  <si>
    <t>number of supporters the incumbent leader needs to stay in power</t>
  </si>
  <si>
    <t>A8.  =G8</t>
  </si>
  <si>
    <t>B10.  =A3-A8-A5*A9</t>
  </si>
  <si>
    <t>B11.  =A2*A8^A1+B10</t>
  </si>
  <si>
    <t>B12.  =A2*A8^A1+A9</t>
  </si>
  <si>
    <t>I12.  =A2*(A8^A1)+A9*A5/A4</t>
  </si>
  <si>
    <t>A19.  =G8</t>
  </si>
  <si>
    <t>A20.  =G9</t>
  </si>
  <si>
    <t>The incumbent leader chooses G and X:</t>
  </si>
  <si>
    <t>optimal X in eqm</t>
  </si>
  <si>
    <t>A10.  =H10</t>
  </si>
  <si>
    <t>theta_0, lowest theta~ where effort A is required</t>
  </si>
  <si>
    <t xml:space="preserve"> With full observability, could require effort =A or =0, depending on theta~:</t>
  </si>
  <si>
    <t>Slack in incentive constraint:  A &lt;= delta*V.</t>
  </si>
  <si>
    <t>A, effort required of agent, when theta~ is high</t>
  </si>
  <si>
    <t>U, voters' E(payoff) per period [maximize]</t>
  </si>
  <si>
    <t>E35.  =(A2-D33*(1-D34))/(1-A1)</t>
  </si>
  <si>
    <t>E36.  =D33*(1-D34)*(1+D34)/2</t>
  </si>
  <si>
    <t>E37.  =E35*A1-D33</t>
  </si>
  <si>
    <t>SOLVER(2): max E36 by changing D33:D34 subject to E37&gt;=0.</t>
  </si>
  <si>
    <t>V, E(discounted value for agent) at start of period</t>
  </si>
  <si>
    <t>D33.  =K33</t>
  </si>
  <si>
    <t>K33.  =A1*A2/(1-A1*D34)</t>
  </si>
  <si>
    <t>D34.  =K34</t>
  </si>
  <si>
    <t>K34.  =(1-(1-A1^2)^0.5)/A1</t>
  </si>
  <si>
    <t>FORMULAS FROM RANGE D33:K38</t>
  </si>
  <si>
    <t xml:space="preserve"> (Perhaps a separation of powers could enable voters to achieve this?)</t>
  </si>
  <si>
    <t>&lt;= K/theta_0</t>
  </si>
  <si>
    <t xml:space="preserve">   when theta~ &gt; theta_0, incumbent chooses effort = K/theta~</t>
  </si>
  <si>
    <t xml:space="preserve">   when theta~ &lt; theta_0, incumbent chooses effort = 0</t>
  </si>
  <si>
    <t>Estimating V and theta_0, as functions of K</t>
  </si>
  <si>
    <t>K12.  =A8/B10</t>
  </si>
  <si>
    <t>E17.  =A2+A8*(LN(B10)-1-(1/A1-1)/B10)</t>
  </si>
  <si>
    <t>V, district leader's income (max taxes)</t>
  </si>
  <si>
    <t>optimal K</t>
  </si>
  <si>
    <t>optimal n</t>
  </si>
  <si>
    <t>K_low</t>
  </si>
  <si>
    <t>K_hi</t>
  </si>
  <si>
    <t>K_mid</t>
  </si>
  <si>
    <t>F+K</t>
  </si>
  <si>
    <t>Calculating optimal K:</t>
  </si>
  <si>
    <t>D27.  =AVERAGE(B27:C27)</t>
  </si>
  <si>
    <t>w</t>
  </si>
  <si>
    <t>interest rate, extra pay required for each unit of capital that workers bring</t>
  </si>
  <si>
    <t>base wage rate required to attract workers (without capita), per unit labor</t>
  </si>
  <si>
    <t>L</t>
  </si>
  <si>
    <t>v_o</t>
  </si>
  <si>
    <t>Nonexpropriation incentive constraint is V &gt;= v_o+kr</t>
  </si>
  <si>
    <t>v_o+kr, leader's future income if he expropriates workers' capital</t>
  </si>
  <si>
    <t>V-(rk+v_o)</t>
  </si>
  <si>
    <t>V(H_1)-r(H_1-L)-v_o</t>
  </si>
  <si>
    <t>H_2, supremum of L's where workers can invest (satisfies dv_o/dL =2r)</t>
  </si>
  <si>
    <t>V-rk-v_o</t>
  </si>
  <si>
    <t>A11.  =H11</t>
  </si>
  <si>
    <t>H11.  =IF(A6&gt;=B24,0,IF(B23&gt;=0,C27,D127))</t>
  </si>
  <si>
    <t>A12.  =(1-B3)*((B3/A7)^B3 * (A6+A11)^A1 * A5^A2)^(1/(1-B3)) - A8*A11</t>
  </si>
  <si>
    <t>B12.  =A4*(A4*(A6+A11)^A1)*(A10^B3)*(A5^A2)-A10*A7-A8*A11</t>
  </si>
  <si>
    <t>B15.  =(A6^A1 * A5^A2 * A4*B3/A7)^(1/(1-B3))</t>
  </si>
  <si>
    <t>A16.  =(1-B3)*(A4 * (B3/A7)^B3 * A6^A1 * A5^A2)^(1/(1-B3))</t>
  </si>
  <si>
    <t>B16.  =A4 * A6^A1 * A5^A2 * B15^B3 - B15*A7</t>
  </si>
  <si>
    <t>B18.  =B16+A11*A8</t>
  </si>
  <si>
    <t>B19.  =B12-B18</t>
  </si>
  <si>
    <t>B22.  =A4^(1/A2) * (A1/A8)^((1-B3)/A2) * (B3/A7)^(B3/A2) * A5</t>
  </si>
  <si>
    <t>B23.  =(1-B3)*(A4 * (B3/A7)^B3 * (B22)^A1 * A5^A2)^(1/(1-B3)) - 2*A8*(B22-A6) - B16</t>
  </si>
  <si>
    <t>B24.  =A4^(1/A2) * (0.5*A1/A8)^((1-B3)/A2) * (B3/A7)^(B3/A2) * A5</t>
  </si>
  <si>
    <t>C27.  =B22-A6</t>
  </si>
  <si>
    <t>B28.  =IF(E27&gt;=0,D27,B27)</t>
  </si>
  <si>
    <t>C28.  =IF(E27&gt;=0,C27,D27)</t>
  </si>
  <si>
    <t>D28.  =AVERAGE(B28:C28)</t>
  </si>
  <si>
    <t>SOLVER: max B12 by changing A10:A11 subject to B12&gt;=B18, A10:A11&gt;=0.</t>
  </si>
  <si>
    <t>H10.  =((A6+H11)^A1 * A5^A2 * A4*B3/A7)^(1/(1-B3))</t>
  </si>
  <si>
    <t xml:space="preserve"> B28:E28 copied to B28:E127</t>
  </si>
  <si>
    <t>E27.  =(1-$B$3)*($A$4*($B$3/$A$7)^$B$3 * ($A$6+D27)^$A$1 * $A$5^$A$2)^(1/(1-$B$3))-2*$A$8*D27-$B$16</t>
  </si>
  <si>
    <t>E28.  =(1-$B$3)*($A$4*($B$3/$A$7)^$B$3 * ($A$6+D28)^$A$1 * $A$5^$A$2)^(1/(1-$B$3))-2*$A$8*D28-$B$16</t>
  </si>
  <si>
    <t>TABLE(,A6)</t>
  </si>
  <si>
    <t>constant in production function, output rate with 1 unit of all inputs</t>
  </si>
  <si>
    <t>capital invested by workers</t>
  </si>
  <si>
    <t>Optimum for district leader when workers don't invest (k=0)</t>
  </si>
  <si>
    <t>H_1, optimal L+k with perfect markets &amp; no expropriation threat (dv_o/dL=r)</t>
  </si>
  <si>
    <t>optimal G in eqm (max's sum for W+1 individuals)</t>
  </si>
  <si>
    <t>r, leader's excess rent</t>
  </si>
  <si>
    <t>0 = r-(W+1)*X~</t>
  </si>
  <si>
    <t>0 = X~-(R-G~-r)/(W+1)</t>
  </si>
  <si>
    <t>X~*(1-W/S)*delta/(1-delta), leader's advantage from future</t>
  </si>
  <si>
    <t>size of coalition</t>
  </si>
  <si>
    <t>optimal g</t>
  </si>
  <si>
    <t>value of coalition</t>
  </si>
  <si>
    <t>value/member</t>
  </si>
  <si>
    <t>advantage of supporting incumbent</t>
  </si>
  <si>
    <t>incumbent's payoff</t>
  </si>
  <si>
    <t>|state1</t>
  </si>
  <si>
    <t>|state2</t>
  </si>
  <si>
    <t>[geoMean] mostLikelyTurnout</t>
  </si>
  <si>
    <t>actual</t>
  </si>
  <si>
    <t>predicted</t>
  </si>
  <si>
    <t>Ratio of pivot probys piv2/piv1</t>
  </si>
  <si>
    <t>Effort</t>
  </si>
  <si>
    <t>Sector</t>
  </si>
  <si>
    <t>Prior probability of Good incumbent</t>
  </si>
  <si>
    <t>Challenger indep'ly has same proby of being Good.</t>
  </si>
  <si>
    <t>P(positive|...)</t>
  </si>
  <si>
    <t>|Good)</t>
  </si>
  <si>
    <t>|Bad)</t>
  </si>
  <si>
    <t>Voter's get positive (good) outcomes that depend on incumbent's type and effort.</t>
  </si>
  <si>
    <t>2...5</t>
  </si>
  <si>
    <t>Fraction</t>
  </si>
  <si>
    <t>Types of voters:</t>
  </si>
  <si>
    <t>E(Fractn of popn|</t>
  </si>
  <si>
    <t>Strategy P(vote|type)</t>
  </si>
  <si>
    <t>ForIncum</t>
  </si>
  <si>
    <t>AgainstI</t>
  </si>
  <si>
    <t>Abstain</t>
  </si>
  <si>
    <t>Ratio</t>
  </si>
  <si>
    <t>E(Fraction voting ForIncum|State)</t>
  </si>
  <si>
    <t>E(Fraction voting AgainstI|State)</t>
  </si>
  <si>
    <t>Pivot magnitude in State</t>
  </si>
  <si>
    <t>Difference</t>
  </si>
  <si>
    <t>GOALSEEK or SOLVER: set E20 to value 0 by changing H13.</t>
  </si>
  <si>
    <t>D6.  =0.2+0.5*C6</t>
  </si>
  <si>
    <t>E6.  =0.1+0.25*C6</t>
  </si>
  <si>
    <t>C7.  =(1-C6)/4</t>
  </si>
  <si>
    <t>D7.  =0.2+0.5*C7</t>
  </si>
  <si>
    <t>E7.  =0.1+0.25*C7</t>
  </si>
  <si>
    <t>D11.  =$B$6*D6</t>
  </si>
  <si>
    <t>E11.  =$B$6*E6</t>
  </si>
  <si>
    <t>F11.  =D11/E11</t>
  </si>
  <si>
    <t>D12.  =$B$7*D7</t>
  </si>
  <si>
    <t>E12.  =$B$7*E7</t>
  </si>
  <si>
    <t>F12.  =D12/E12</t>
  </si>
  <si>
    <t>D13.  =$B$7-D12</t>
  </si>
  <si>
    <t>E13.  =$B$7-E12</t>
  </si>
  <si>
    <t>F13.  =D13/E13</t>
  </si>
  <si>
    <t>I13.  =1-H13</t>
  </si>
  <si>
    <t>D14.  =$B$6-D11</t>
  </si>
  <si>
    <t>E14.  =$B$6-E11</t>
  </si>
  <si>
    <t>F14.  =D14/E14</t>
  </si>
  <si>
    <t>D17.  =SUMPRODUCT(D11:D14,$G$11:$G$14)</t>
  </si>
  <si>
    <t>E17.  =SUMPRODUCT(E11:E14,$G$11:$G$14)</t>
  </si>
  <si>
    <t>D18.  =SUMPRODUCT(D11:D14,$H$11:$H$14)</t>
  </si>
  <si>
    <t>E18.  =SUMPRODUCT(E11:E14,$H$11:$H$14)</t>
  </si>
  <si>
    <t>D19.  =0-(D17^0.5-D18^0.5)^2</t>
  </si>
  <si>
    <t>E19.  =0-(E17^0.5-E18^0.5)^2</t>
  </si>
  <si>
    <t>E20.  =(D19-E19)</t>
  </si>
  <si>
    <t>FORMULAS FROM RANGE A1:I21</t>
  </si>
  <si>
    <t>Positive in 1</t>
  </si>
  <si>
    <t>Positive in 2...5</t>
  </si>
  <si>
    <t>Negative in 2...5</t>
  </si>
  <si>
    <t>Negative in 1</t>
  </si>
  <si>
    <t>Likelihd</t>
  </si>
  <si>
    <t xml:space="preserve"> Less effort in 1 (C6) would increase votes against incumbent (D18:E18).</t>
  </si>
  <si>
    <t>theta</t>
  </si>
  <si>
    <t>rho</t>
  </si>
  <si>
    <t>discount rate</t>
  </si>
  <si>
    <t>psi</t>
  </si>
  <si>
    <t>optimal k</t>
  </si>
  <si>
    <t/>
  </si>
  <si>
    <t>lamda</t>
  </si>
  <si>
    <t>*</t>
  </si>
  <si>
    <t>=RAND()</t>
  </si>
  <si>
    <t>Lagrangean</t>
  </si>
  <si>
    <t>optimal lamda</t>
  </si>
  <si>
    <t>PARAMETERS:</t>
  </si>
  <si>
    <t>r, capitalist investors' discount rate</t>
  </si>
  <si>
    <t>rho, authoritarian ruler's discount rate</t>
  </si>
  <si>
    <t>psi, rate of pseudoexpropriation crises</t>
  </si>
  <si>
    <t>theta, expropriatable fraction of invested assets</t>
  </si>
  <si>
    <t>Example1</t>
  </si>
  <si>
    <t>ideal K*</t>
  </si>
  <si>
    <t>B</t>
  </si>
  <si>
    <t>ideal infeasible?</t>
  </si>
  <si>
    <t>POTENTIAL SOLUTIONS:</t>
  </si>
  <si>
    <t>k, capitalist investment</t>
  </si>
  <si>
    <t>Lamda(k), liberalization required</t>
  </si>
  <si>
    <t>V(k,lamda), value to ruler</t>
  </si>
  <si>
    <t>zero at local optimum</t>
  </si>
  <si>
    <t>maximal V</t>
  </si>
  <si>
    <t>V(k,lamda)</t>
  </si>
  <si>
    <t>Lagrange multiplier making dL/dk=0</t>
  </si>
  <si>
    <t>steps in the discrete approximation</t>
  </si>
  <si>
    <t>location of optimum in the table</t>
  </si>
  <si>
    <t>optimal</t>
  </si>
  <si>
    <t xml:space="preserve">From table:   </t>
  </si>
  <si>
    <t>Try changing F to 1 or 15 or 16</t>
  </si>
  <si>
    <t>Example0</t>
  </si>
  <si>
    <t>Q(k), (Ruler'sIncome)/(ExpropriatableWealth)</t>
  </si>
  <si>
    <t>(zeroes)</t>
  </si>
  <si>
    <t>W(k,lamda), value of expropriation</t>
  </si>
  <si>
    <t>Q(k)</t>
  </si>
  <si>
    <t>Lamda(k)</t>
  </si>
  <si>
    <t>There are two equally likely states: A and B</t>
  </si>
  <si>
    <t>There are three candidates, A, B, C</t>
  </si>
  <si>
    <t>C voters get u=1 if C wins, u=0 else.</t>
  </si>
  <si>
    <t>AB-voters get u=2 if winner matches state, u=1 if other in {A,B} wins, 0 if C wins.</t>
  </si>
  <si>
    <t>probability that signal is same as state</t>
  </si>
  <si>
    <t>Each AB voter gets independent signal in {A,B}</t>
  </si>
  <si>
    <t>Consider AB-symmetric strategies for AB-voters</t>
  </si>
  <si>
    <t>probability of approving both A and B</t>
  </si>
  <si>
    <t>probability of approving only candidate = signal</t>
  </si>
  <si>
    <t>E(fraction voting AB)</t>
  </si>
  <si>
    <t>0 = probability of voting for candidate not signalled</t>
  </si>
  <si>
    <t>E(fraction for right in {A,B})</t>
  </si>
  <si>
    <t>E(fraction for wrong in {A,B})</t>
  </si>
  <si>
    <t>(A,B) pivot magnitude</t>
  </si>
  <si>
    <t>(right{AB},C) pivot magnitude</t>
  </si>
  <si>
    <t>rightAB &amp; C tie likely to have winner?</t>
  </si>
  <si>
    <t>AB tie likely to have winner?</t>
  </si>
  <si>
    <t>E(fractn for rightAB and C if tie)</t>
  </si>
  <si>
    <t>E(fractn for wrongAB if rightAB &amp; C tie)</t>
  </si>
  <si>
    <t>if State=A</t>
  </si>
  <si>
    <t>E(fraction voting A only)</t>
  </si>
  <si>
    <t>E(fraction voting B only)</t>
  </si>
  <si>
    <t>E(fraction voting C only)</t>
  </si>
  <si>
    <t>P(wrongAB vote pivotal against right)/P(rightAB vote pivotal against wrong)</t>
  </si>
  <si>
    <t>P(rightAB vote pivotal against C)/P(rightAB vote pivotal against wrong)</t>
  </si>
  <si>
    <t>E(gain from double-voting)/P(rightAB vote pivotal against wrong)</t>
  </si>
  <si>
    <t>(Set A24 to 0 by changing A23)</t>
  </si>
  <si>
    <t>difference (Set to 0 by A11)</t>
  </si>
  <si>
    <t>expected fraction of AB group, all others in C group.  Large Poisson population.</t>
  </si>
  <si>
    <t>Example due to Micael Castanheira and Laurent Bouton (2007) (Universite' Libre de Bruxelles)</t>
  </si>
  <si>
    <t>E(fraction for A and B if AB tie)</t>
  </si>
  <si>
    <t>Ui(A)</t>
  </si>
  <si>
    <t>Ui(B)</t>
  </si>
  <si>
    <t>Ui(C)</t>
  </si>
  <si>
    <t>1: A&gt;B&gt;C</t>
  </si>
  <si>
    <t>2: B&gt;C&gt;A</t>
  </si>
  <si>
    <t>3: C&gt;A&gt;B</t>
  </si>
  <si>
    <t>Partisan cutoffs for</t>
  </si>
  <si>
    <t>A vs. B</t>
  </si>
  <si>
    <t>B vs. C</t>
  </si>
  <si>
    <t>A vs. C</t>
  </si>
  <si>
    <t>Fraction of type favoring</t>
  </si>
  <si>
    <t>Overall</t>
  </si>
  <si>
    <t>sum=1</t>
  </si>
  <si>
    <t>EU</t>
  </si>
  <si>
    <t>Party partisanship is Uniform[-delta,delta], independent across voters.</t>
  </si>
  <si>
    <t>R-g1-Wx1, private goods for incumbent</t>
  </si>
  <si>
    <t>u2, utility of challenger's supporter, while promise is kept [max'd by g_2]</t>
  </si>
  <si>
    <t>g1</t>
  </si>
  <si>
    <t>x1</t>
  </si>
  <si>
    <t>g2</t>
  </si>
  <si>
    <t>x2</t>
  </si>
  <si>
    <t>optimal g2</t>
  </si>
  <si>
    <t>public goods, =optimal g1 in eqm</t>
  </si>
  <si>
    <t>private goods to random W supporters, =optimal x1 in eqm</t>
  </si>
  <si>
    <t>u1, incumbent's supporter's utility</t>
  </si>
  <si>
    <t>SOLVER: max B11 by changing A8:A9 subject to B22&gt;=0, A8:A9&gt;=0, A10&gt;=0.</t>
  </si>
  <si>
    <t>incumbency advantage</t>
  </si>
  <si>
    <t>Net benefit of supporting incumbent, if invited to support both.</t>
  </si>
  <si>
    <t>private goods to each of W supporters (some supported incumbent)</t>
  </si>
  <si>
    <t>But after one period, challenger (or incumbent) is expected to revert to:</t>
  </si>
  <si>
    <t>E1.  =AND(A1&gt;B1,B1&gt;C1)</t>
  </si>
  <si>
    <t>E2.  =AND(B2&gt;C2,C2&gt;A2)</t>
  </si>
  <si>
    <t>E3.  =AND(C3&gt;A3,A3&gt;B3)</t>
  </si>
  <si>
    <t>A5.  =SUMPRODUCT(A1:A3,$F$1:$F$3)</t>
  </si>
  <si>
    <t>B5.  =SUMPRODUCT(B1:B3,$F$1:$F$3)</t>
  </si>
  <si>
    <t>C5.  =SUMPRODUCT(C1:C3,$F$1:$F$3)</t>
  </si>
  <si>
    <t>F5.  =SUM(F1:F3)=1</t>
  </si>
  <si>
    <t>E8.  =A8&gt;0</t>
  </si>
  <si>
    <t>B12.  =MIN(MAX(B1-A1,-$A$8),$A$8)</t>
  </si>
  <si>
    <t>C12.  =MIN(MAX(C1-A1,-$A$8),$A$8)</t>
  </si>
  <si>
    <t>D12.  =MIN(MAX(C1-B1,-$A$8),$A$8)</t>
  </si>
  <si>
    <t>E12.  =($A$8-B12)/(2*$A$8)</t>
  </si>
  <si>
    <t>F12.  =($A$8-C12)/(2*$A$8)</t>
  </si>
  <si>
    <t>G12.  =($A$8-D12)/(2*$A$8)</t>
  </si>
  <si>
    <t>B13.  =MIN(MAX(B2-A2,-$A$8),$A$8)</t>
  </si>
  <si>
    <t>C13.  =MIN(MAX(C2-A2,-$A$8),$A$8)</t>
  </si>
  <si>
    <t>D13.  =MIN(MAX(C2-B2,-$A$8),$A$8)</t>
  </si>
  <si>
    <t>E13.  =($A$8-B13)/(2*$A$8)</t>
  </si>
  <si>
    <t>F13.  =($A$8-C13)/(2*$A$8)</t>
  </si>
  <si>
    <t>G13.  =($A$8-D13)/(2*$A$8)</t>
  </si>
  <si>
    <t>B14.  =MIN(MAX(B3-A3,-$A$8),$A$8)</t>
  </si>
  <si>
    <t>C14.  =MIN(MAX(C3-A3,-$A$8),$A$8)</t>
  </si>
  <si>
    <t>D14.  =MIN(MAX(C3-B3,-$A$8),$A$8)</t>
  </si>
  <si>
    <t>E14.  =($A$8-B14)/(2*$A$8)</t>
  </si>
  <si>
    <t>F14.  =($A$8-C14)/(2*$A$8)</t>
  </si>
  <si>
    <t>G14.  =($A$8-D14)/(2*$A$8)</t>
  </si>
  <si>
    <t>E15.  =SUMPRODUCT(E12:E14,$F$1:$F$3)</t>
  </si>
  <si>
    <t>F15.  =SUMPRODUCT(F12:F14,$F$1:$F$3)</t>
  </si>
  <si>
    <t>G15.  =SUMPRODUCT(G12:G14,$F$1:$F$3)</t>
  </si>
  <si>
    <t>E16.  =IF(E15&gt;0.5,"A&gt;&gt;B",IF(E15&lt;0.5,"B&gt;&gt;A","AB tie"))</t>
  </si>
  <si>
    <t>F16.  =IF(F15&gt;0.5,"A&gt;&gt;C",IF(F15&lt;0.5,"C&gt;&gt;A","AC tie"))</t>
  </si>
  <si>
    <t>G16.  =IF(G15&gt;0.5,"B&gt;&gt;C",IF(G15&lt;0.5,"C&gt;&gt;B","BC tie"))</t>
  </si>
  <si>
    <t>A17.  =IF(AND(E15&gt;0.5,F15&gt;0.5),"A is Condorcet winner","")</t>
  </si>
  <si>
    <t>B18.  =IF(AND(G15&gt;0.5,E15&lt;0.5),"B is Condorcet winner","")</t>
  </si>
  <si>
    <t>C19.  =IF(AND(F15&lt;0.5,G15&lt;0.5),"C is Condorcet winner","")</t>
  </si>
  <si>
    <t>FORMULAS FROM RANGE A1:G19</t>
  </si>
  <si>
    <t>G8.  =MIN(((A5+1)*A1*A2)^(1/(1-A1)), A3)</t>
  </si>
  <si>
    <t>G9.  =(A17-A2*G8^A1)*(1-A6)/(1-A6*A5/A4)</t>
  </si>
  <si>
    <t>J9.  =J16/(1+A6*(1-A5/A4)/(1-A6))</t>
  </si>
  <si>
    <t>A15.  =G15</t>
  </si>
  <si>
    <t>G15.  =MIN((A2*A1*(A5+1))^(1/(1-A1)), A3)</t>
  </si>
  <si>
    <t>A16.  =(A3-A15)/(A5+1)</t>
  </si>
  <si>
    <t>J16.  =(A3-G15)/(A5+1)</t>
  </si>
  <si>
    <t>A17.  =A2*(A15^A1) + A16</t>
  </si>
  <si>
    <t>B17.  =A2*(G15^A1)+(A3-G15)/(A5+1)</t>
  </si>
  <si>
    <t>B21.  =A6*(1-A5/A4)*A20/(1-A6)</t>
  </si>
  <si>
    <t>B22.  =(B12-B17) + A6*(1-A5/A4)*A20/(1-A6)</t>
  </si>
  <si>
    <t>FORMULAS FROM RANGE A1:J23</t>
  </si>
  <si>
    <t>=RAND()*10</t>
  </si>
  <si>
    <t>=RAND()*0.1</t>
  </si>
  <si>
    <t>rate of accidents when just</t>
  </si>
  <si>
    <t>rate of accidents when unjust (spse &gt;alpha)</t>
  </si>
  <si>
    <t>governor's private profit rate when unjust</t>
  </si>
  <si>
    <t>tau =gamma/(beta-alpha), governor's penalty after accident</t>
  </si>
  <si>
    <t xml:space="preserve"> </t>
  </si>
  <si>
    <t>G =D+tau, required EPayoff for new governor</t>
  </si>
  <si>
    <t>price candidates for governor can pay (spse &lt;G)</t>
  </si>
  <si>
    <t>=RAND()*C8</t>
  </si>
  <si>
    <t>H^</t>
  </si>
  <si>
    <t>approximate bound on prince's debt to governor (&gt;G), adjusted below for discrete approximation</t>
  </si>
  <si>
    <t>rows in discrete approximation</t>
  </si>
  <si>
    <t>steps/tau, steps per penalty in discrete solution</t>
  </si>
  <si>
    <t>epsilon, step size in discrete solution</t>
  </si>
  <si>
    <t>H</t>
  </si>
  <si>
    <t>highest credible debt prince can owe a governor</t>
  </si>
  <si>
    <t>H-H^</t>
  </si>
  <si>
    <t>V(G)-K</t>
  </si>
  <si>
    <t>prince's expected total net cost when new governor is appointed</t>
  </si>
  <si>
    <t>E(U~) in stationary distribution</t>
  </si>
  <si>
    <t>lower bound on E(U~)</t>
  </si>
  <si>
    <t>P(U~=H) in stationary distributn</t>
  </si>
  <si>
    <t>E(pay) in stationry distn</t>
  </si>
  <si>
    <t>check zeroes</t>
  </si>
  <si>
    <t>lower bounds on P(U~=H)</t>
  </si>
  <si>
    <t>Dismissal rate in stationary distribution</t>
  </si>
  <si>
    <t>&gt;0?</t>
  </si>
  <si>
    <t>u, governor's expected NPV payoff, credit promised by prince</t>
  </si>
  <si>
    <t>V(u), E(prince's total discounted cost of paying governors)</t>
  </si>
  <si>
    <t>V(G)-K if H changed to this u</t>
  </si>
  <si>
    <t>F(u), P(debtToGov&lt;u) in stationary distn, F'(u)=alpha*(F(u)-F(u+tau))/(delta*u+alpha*tau)</t>
  </si>
  <si>
    <t>dF(u)</t>
  </si>
  <si>
    <t>Omega(u), =(1-F(u))/(1-F(H))</t>
  </si>
  <si>
    <t>Dismissal rate</t>
  </si>
  <si>
    <t>With implicit bound labor</t>
  </si>
  <si>
    <t>bound labor supply</t>
  </si>
  <si>
    <t>wage for marginal free labor</t>
  </si>
  <si>
    <t>New production parameters when attract marginal free laborers</t>
  </si>
  <si>
    <t>A*</t>
  </si>
  <si>
    <t>alpha*</t>
  </si>
  <si>
    <t>F*</t>
  </si>
  <si>
    <t>B*</t>
  </si>
  <si>
    <t>exponent of labor in production function</t>
  </si>
  <si>
    <t>For constructing Tiebout examples:</t>
  </si>
  <si>
    <t>alpha=1</t>
  </si>
  <si>
    <t>A in linear prodn</t>
  </si>
  <si>
    <t>Q(big k)</t>
  </si>
  <si>
    <t>Lamda(big k)</t>
  </si>
  <si>
    <t>Linear production</t>
  </si>
  <si>
    <t>big k optimal</t>
  </si>
  <si>
    <t>Then get Lamda= 1-(1/alpha - 1)*r/(theta*(psi+rho))</t>
  </si>
  <si>
    <t>For alpha close to 1, can use linear approximation with  new A = r/alpha,</t>
  </si>
  <si>
    <t>bound on lamda</t>
  </si>
  <si>
    <t>SEE CHARTS AT Q22:W63</t>
  </si>
  <si>
    <t>=RAND()*Q5*0.95</t>
  </si>
  <si>
    <t>=C8/(0.2+0.8*RAND())</t>
  </si>
  <si>
    <t>Psi(u)</t>
  </si>
  <si>
    <t>Psi'(u)</t>
  </si>
  <si>
    <t>if H-&gt;u:</t>
  </si>
  <si>
    <t>Example</t>
  </si>
  <si>
    <t xml:space="preserve">Example2, increasing alpha [with rho=r, theta=1, psi=r*(2*alpha-1)] makes lamda increase from 0; for lower alpha we get lamda&gt;0 when psi&lt;r*(2*alpha-1) </t>
  </si>
  <si>
    <t>Example3</t>
  </si>
  <si>
    <t>FORMULAS FROM RANGE A1:F31</t>
  </si>
  <si>
    <t>D6.  =A6&lt;D8</t>
  </si>
  <si>
    <t>D8.  =(A9*A8/A2)^(1/(1-A9))</t>
  </si>
  <si>
    <t>F8.  =MAX(D8-A6, 0)</t>
  </si>
  <si>
    <t>D9.  =$A$8*(D8)^$A$9+$A$10</t>
  </si>
  <si>
    <t>F&lt;K_r?</t>
  </si>
  <si>
    <t>D10.  =(A9*A8/(A2+A3*A5))^(1/(1-A9))</t>
  </si>
  <si>
    <t>Example: lamda(k) moves continuously from 0 as F changes</t>
  </si>
  <si>
    <t>Production function  Y(F+k) = A*(F+k)^alpha + B</t>
  </si>
  <si>
    <t>D11.  =A8*A6^A9+A10</t>
  </si>
  <si>
    <t>K_r</t>
  </si>
  <si>
    <t>Kr-F</t>
  </si>
  <si>
    <t>D12.  =(D9-$A$2*F8)/($A$5*F8+$D$11/$A$3) &lt; $A$3</t>
  </si>
  <si>
    <t>Y(K_r)</t>
  </si>
  <si>
    <t>A14.  =E21</t>
  </si>
  <si>
    <t>K_{r+rho*theta}</t>
  </si>
  <si>
    <t>A15.  =$A$8*($A$6+A14)^$A$9+$A$10</t>
  </si>
  <si>
    <t>Y(F)</t>
  </si>
  <si>
    <t>A16.  =IF(A14=0,$A$3, (A15-$A$2*A14)/($A$5*A14+$D$11/$A$3))</t>
  </si>
  <si>
    <t>A17.  =IF(A16&gt;=$A$3,0, ($A$4-$A$3+(($A$4-$A$3)^2+4*$A$4*($A$3-A16))^0.5)/(2*$A$4) )</t>
  </si>
  <si>
    <t>A18.  =(A15-$A$2*A14)/($A$3+$A$4*A17)</t>
  </si>
  <si>
    <t>capital exponent</t>
  </si>
  <si>
    <t>compare F=0, F=25</t>
  </si>
  <si>
    <t>F18.  =(1-A17)*($A$3+$A$4*A17) - A16</t>
  </si>
  <si>
    <t>Y(F+k), national income</t>
  </si>
  <si>
    <t>labor exponent</t>
  </si>
  <si>
    <t>A19.  =(1-A17)*($A$5*A14+$D$11/$A$3)</t>
  </si>
  <si>
    <t>wage</t>
  </si>
  <si>
    <t>F19.  =A18-A19</t>
  </si>
  <si>
    <t>local serfs</t>
  </si>
  <si>
    <t>A20.  =$A$9*$A$8*(A14+$A$6)^($A$9-1)</t>
  </si>
  <si>
    <t>A21.  =IF(D12,IF(A16&gt;=A3,A3-A16,A20-A2-A4*A5*(1-A17)^2),A14-F8)</t>
  </si>
  <si>
    <t>local labor demand (free and serf)</t>
  </si>
  <si>
    <t>E21.  =OFFSET(B29,B27,0)</t>
  </si>
  <si>
    <t>Y'(F+k)</t>
  </si>
  <si>
    <t>E22.  =OFFSET(D29,B27,0)</t>
  </si>
  <si>
    <t>wage from serfdom</t>
  </si>
  <si>
    <t>E23.  =$A$8*($A$6+E21)^$A$9+$A$10</t>
  </si>
  <si>
    <t>initiated correctly</t>
  </si>
  <si>
    <t>E24.  =MAX(E30:E230)</t>
  </si>
  <si>
    <t>Y(optimal k+F)</t>
  </si>
  <si>
    <t>B26.  =ROW($A$230)-ROW($A$30)</t>
  </si>
  <si>
    <t>B27.  =MATCH(E24,E30:E230,0)</t>
  </si>
  <si>
    <t>C30.  =IF(B30=0,$A$3, ($A$8*($A$6+B30)^$A$9+$A$10-$A$2*B30)/($A$5*B30+$D$11/$A$3))</t>
  </si>
  <si>
    <t>D30.  =IF(C30&gt;=$A$3,0, ($A$4-$A$3+(($A$4-$A$3)^2+4*$A$4*($A$3-C30))^0.5)/(2*$A$4) )</t>
  </si>
  <si>
    <t>jump-over lamda</t>
  </si>
  <si>
    <t>E30.  =(($A$8*($A$6+B30)^$A$9+$A$10) - $A$2*B30)/($A$3+$A$4*D30)</t>
  </si>
  <si>
    <t>optimal lamda as psi-&gt;0</t>
  </si>
  <si>
    <t>F30.  =(1-D30)*($A$5*B30+$D$11/$A$3)</t>
  </si>
  <si>
    <t>B31.  =B30+$F$8/$B$26</t>
  </si>
  <si>
    <t>C31.  =IF(B31=0,$A$3, ($A$8*($A$6+B31)^$A$9+$A$10-$A$2*B31)/($A$5*B31+$D$11/$A$3))</t>
  </si>
  <si>
    <t>D31.  =IF(C31&gt;=$A$3,0, ($A$4-$A$3+(($A$4-$A$3)^2+4*$A$4*($A$3-C31))^0.5)/(2*$A$4) )</t>
  </si>
  <si>
    <t>E31.  =(($A$8*($A$6+B31)^$A$9+$A$10) - $A$2*B31)/($A$3+$A$4*D31)</t>
  </si>
  <si>
    <t>F31.  =(1-D31)*($A$5*B31+$D$11/$A$3)</t>
  </si>
  <si>
    <t xml:space="preserve">  B31:F31 copied to B31:F230</t>
  </si>
  <si>
    <t>I26.  =(A20-$A$2)/($A$2+$A$5*(1-A17)*($A$3+$A$4*A17)-A20)</t>
  </si>
  <si>
    <t>I27.  =A18+I26*(A18-A19)</t>
  </si>
  <si>
    <t>I28.  =MAX(1-A3/A4,0)</t>
  </si>
  <si>
    <t>I29.  =MAX(1-(D9-A2*F8)/(D11+A3*A5*F8),0)</t>
  </si>
  <si>
    <t>Solver: max A18 by changing A14 subject to A14&gt;=0.</t>
  </si>
  <si>
    <t>F, fixed capital</t>
  </si>
  <si>
    <t>For eqm: set LocalLaborDemand to 1 by changing Wage (with GoalSeek tool)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</si>
</sst>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b/>
      <sz val="10"/>
      <name val="Courier New"/>
      <family val="3"/>
    </font>
    <font>
      <sz val="10"/>
      <name val="Arial"/>
      <family val="0"/>
    </font>
    <font>
      <b/>
      <u val="single"/>
      <sz val="10"/>
      <color indexed="12"/>
      <name val="Courier New"/>
      <family val="3"/>
    </font>
    <font>
      <b/>
      <sz val="10"/>
      <color indexed="20"/>
      <name val="Courier New"/>
      <family val="3"/>
    </font>
    <font>
      <sz val="10"/>
      <name val="Times New Roman"/>
      <family val="1"/>
    </font>
    <font>
      <b/>
      <u val="single"/>
      <sz val="10"/>
      <color indexed="36"/>
      <name val="Courier New"/>
      <family val="3"/>
    </font>
    <font>
      <b/>
      <sz val="10"/>
      <color indexed="61"/>
      <name val="Courier New"/>
      <family val="3"/>
    </font>
    <font>
      <b/>
      <sz val="10"/>
      <color indexed="10"/>
      <name val="Courier New"/>
      <family val="3"/>
    </font>
    <font>
      <sz val="12"/>
      <name val="Times New Roman"/>
      <family val="1"/>
    </font>
    <font>
      <b/>
      <sz val="8"/>
      <name val="Courier New"/>
      <family val="3"/>
    </font>
    <font>
      <sz val="10"/>
      <name val="Courier New"/>
      <family val="3"/>
    </font>
    <font>
      <i/>
      <sz val="10"/>
      <color indexed="10"/>
      <name val="Courier New"/>
      <family val="3"/>
    </font>
    <font>
      <sz val="10"/>
      <color indexed="23"/>
      <name val="Courier New"/>
      <family val="3"/>
    </font>
    <font>
      <sz val="10"/>
      <color indexed="20"/>
      <name val="Courier New"/>
      <family val="3"/>
    </font>
    <font>
      <sz val="11.2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hair"/>
      <bottom style="hair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 quotePrefix="1">
      <alignment horizontal="left"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 quotePrefix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0" fillId="0" borderId="0" xfId="0" applyFont="1" applyAlignment="1" quotePrefix="1">
      <alignment horizontal="center"/>
    </xf>
    <xf numFmtId="0" fontId="10" fillId="0" borderId="0" xfId="0" applyFont="1" applyAlignment="1">
      <alignment/>
    </xf>
    <xf numFmtId="0" fontId="0" fillId="0" borderId="23" xfId="0" applyBorder="1" applyAlignment="1">
      <alignment/>
    </xf>
    <xf numFmtId="0" fontId="11" fillId="0" borderId="0" xfId="0" applyFont="1" applyAlignment="1" quotePrefix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 quotePrefix="1">
      <alignment horizontal="left"/>
    </xf>
    <xf numFmtId="0" fontId="0" fillId="0" borderId="0" xfId="0" applyBorder="1" applyAlignment="1" quotePrefix="1">
      <alignment horizontal="left"/>
    </xf>
    <xf numFmtId="0" fontId="10" fillId="0" borderId="0" xfId="0" applyFont="1" applyAlignment="1">
      <alignment/>
    </xf>
    <xf numFmtId="0" fontId="13" fillId="0" borderId="0" xfId="0" applyFont="1" applyAlignment="1" quotePrefix="1">
      <alignment/>
    </xf>
    <xf numFmtId="0" fontId="0" fillId="0" borderId="24" xfId="0" applyBorder="1" applyAlignment="1">
      <alignment/>
    </xf>
    <xf numFmtId="0" fontId="3" fillId="0" borderId="24" xfId="0" applyFont="1" applyBorder="1" applyAlignment="1">
      <alignment/>
    </xf>
    <xf numFmtId="0" fontId="10" fillId="0" borderId="0" xfId="0" applyFont="1" applyAlignment="1" quotePrefix="1">
      <alignment/>
    </xf>
    <xf numFmtId="0" fontId="0" fillId="0" borderId="25" xfId="0" applyBorder="1" applyAlignment="1" quotePrefix="1">
      <alignment horizontal="center"/>
    </xf>
    <xf numFmtId="0" fontId="13" fillId="0" borderId="0" xfId="0" applyFont="1" applyAlignment="1">
      <alignment/>
    </xf>
    <xf numFmtId="0" fontId="10" fillId="0" borderId="0" xfId="0" applyFont="1" applyAlignment="1" quotePrefix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25"/>
          <c:y val="0"/>
          <c:w val="0.88475"/>
          <c:h val="0.941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Governors!$B$20:$B$122</c:f>
              <c:numCache>
                <c:ptCount val="103"/>
                <c:pt idx="0">
                  <c:v>0</c:v>
                </c:pt>
                <c:pt idx="1">
                  <c:v>10</c:v>
                </c:pt>
                <c:pt idx="2">
                  <c:v>10</c:v>
                </c:pt>
                <c:pt idx="3">
                  <c:v>10.147058823529411</c:v>
                </c:pt>
                <c:pt idx="4">
                  <c:v>10.294117647058824</c:v>
                </c:pt>
                <c:pt idx="5">
                  <c:v>10.441176470588236</c:v>
                </c:pt>
                <c:pt idx="6">
                  <c:v>10.588235294117647</c:v>
                </c:pt>
                <c:pt idx="7">
                  <c:v>10.735294117647058</c:v>
                </c:pt>
                <c:pt idx="8">
                  <c:v>10.882352941176471</c:v>
                </c:pt>
                <c:pt idx="9">
                  <c:v>11.029411764705882</c:v>
                </c:pt>
                <c:pt idx="10">
                  <c:v>11.176470588235293</c:v>
                </c:pt>
                <c:pt idx="11">
                  <c:v>11.323529411764707</c:v>
                </c:pt>
                <c:pt idx="12">
                  <c:v>11.470588235294118</c:v>
                </c:pt>
                <c:pt idx="13">
                  <c:v>11.617647058823529</c:v>
                </c:pt>
                <c:pt idx="14">
                  <c:v>11.764705882352942</c:v>
                </c:pt>
                <c:pt idx="15">
                  <c:v>11.911764705882353</c:v>
                </c:pt>
                <c:pt idx="16">
                  <c:v>12.058823529411764</c:v>
                </c:pt>
                <c:pt idx="17">
                  <c:v>12.205882352941178</c:v>
                </c:pt>
                <c:pt idx="18">
                  <c:v>12.352941176470589</c:v>
                </c:pt>
                <c:pt idx="19">
                  <c:v>12.5</c:v>
                </c:pt>
                <c:pt idx="20">
                  <c:v>12.647058823529411</c:v>
                </c:pt>
                <c:pt idx="21">
                  <c:v>12.794117647058824</c:v>
                </c:pt>
                <c:pt idx="22">
                  <c:v>12.941176470588236</c:v>
                </c:pt>
                <c:pt idx="23">
                  <c:v>13.088235294117647</c:v>
                </c:pt>
                <c:pt idx="24">
                  <c:v>13.235294117647058</c:v>
                </c:pt>
                <c:pt idx="25">
                  <c:v>13.382352941176471</c:v>
                </c:pt>
                <c:pt idx="26">
                  <c:v>13.529411764705882</c:v>
                </c:pt>
                <c:pt idx="27">
                  <c:v>13.676470588235293</c:v>
                </c:pt>
                <c:pt idx="28">
                  <c:v>13.823529411764707</c:v>
                </c:pt>
                <c:pt idx="29">
                  <c:v>13.970588235294118</c:v>
                </c:pt>
                <c:pt idx="30">
                  <c:v>14.117647058823529</c:v>
                </c:pt>
                <c:pt idx="31">
                  <c:v>14.264705882352942</c:v>
                </c:pt>
                <c:pt idx="32">
                  <c:v>14.411764705882353</c:v>
                </c:pt>
                <c:pt idx="33">
                  <c:v>14.558823529411764</c:v>
                </c:pt>
                <c:pt idx="34">
                  <c:v>14.705882352941178</c:v>
                </c:pt>
                <c:pt idx="35">
                  <c:v>14.852941176470589</c:v>
                </c:pt>
                <c:pt idx="36">
                  <c:v>15</c:v>
                </c:pt>
                <c:pt idx="37">
                  <c:v>15.147058823529413</c:v>
                </c:pt>
                <c:pt idx="38">
                  <c:v>15.294117647058822</c:v>
                </c:pt>
                <c:pt idx="39">
                  <c:v>15.441176470588236</c:v>
                </c:pt>
                <c:pt idx="40">
                  <c:v>15.588235294117649</c:v>
                </c:pt>
                <c:pt idx="41">
                  <c:v>15.735294117647058</c:v>
                </c:pt>
                <c:pt idx="42">
                  <c:v>15.882352941176471</c:v>
                </c:pt>
                <c:pt idx="43">
                  <c:v>16.029411764705884</c:v>
                </c:pt>
                <c:pt idx="44">
                  <c:v>16.176470588235293</c:v>
                </c:pt>
                <c:pt idx="45">
                  <c:v>16.323529411764707</c:v>
                </c:pt>
                <c:pt idx="46">
                  <c:v>16.470588235294116</c:v>
                </c:pt>
                <c:pt idx="47">
                  <c:v>16.61764705882353</c:v>
                </c:pt>
                <c:pt idx="48">
                  <c:v>16.764705882352942</c:v>
                </c:pt>
                <c:pt idx="49">
                  <c:v>16.911764705882355</c:v>
                </c:pt>
                <c:pt idx="50">
                  <c:v>17.058823529411764</c:v>
                </c:pt>
                <c:pt idx="51">
                  <c:v>17.205882352941178</c:v>
                </c:pt>
                <c:pt idx="52">
                  <c:v>17.352941176470587</c:v>
                </c:pt>
                <c:pt idx="53">
                  <c:v>17.5</c:v>
                </c:pt>
                <c:pt idx="54">
                  <c:v>17.647058823529413</c:v>
                </c:pt>
                <c:pt idx="55">
                  <c:v>17.794117647058822</c:v>
                </c:pt>
                <c:pt idx="56">
                  <c:v>17.941176470588236</c:v>
                </c:pt>
                <c:pt idx="57">
                  <c:v>18.088235294117645</c:v>
                </c:pt>
                <c:pt idx="58">
                  <c:v>18.235294117647058</c:v>
                </c:pt>
                <c:pt idx="59">
                  <c:v>18.38235294117647</c:v>
                </c:pt>
                <c:pt idx="60">
                  <c:v>18.529411764705884</c:v>
                </c:pt>
                <c:pt idx="61">
                  <c:v>18.676470588235297</c:v>
                </c:pt>
                <c:pt idx="62">
                  <c:v>18.823529411764707</c:v>
                </c:pt>
                <c:pt idx="63">
                  <c:v>18.970588235294116</c:v>
                </c:pt>
                <c:pt idx="64">
                  <c:v>19.11764705882353</c:v>
                </c:pt>
                <c:pt idx="65">
                  <c:v>19.264705882352942</c:v>
                </c:pt>
                <c:pt idx="66">
                  <c:v>19.411764705882355</c:v>
                </c:pt>
                <c:pt idx="67">
                  <c:v>19.558823529411764</c:v>
                </c:pt>
                <c:pt idx="68">
                  <c:v>19.705882352941178</c:v>
                </c:pt>
                <c:pt idx="69">
                  <c:v>19.852941176470587</c:v>
                </c:pt>
                <c:pt idx="70">
                  <c:v>20</c:v>
                </c:pt>
                <c:pt idx="71">
                  <c:v>20.147058823529413</c:v>
                </c:pt>
                <c:pt idx="72">
                  <c:v>20.294117647058826</c:v>
                </c:pt>
                <c:pt idx="73">
                  <c:v>20.441176470588236</c:v>
                </c:pt>
                <c:pt idx="74">
                  <c:v>20.588235294117645</c:v>
                </c:pt>
                <c:pt idx="75">
                  <c:v>20.735294117647058</c:v>
                </c:pt>
                <c:pt idx="76">
                  <c:v>20.88235294117647</c:v>
                </c:pt>
                <c:pt idx="77">
                  <c:v>21.029411764705884</c:v>
                </c:pt>
                <c:pt idx="78">
                  <c:v>21.176470588235297</c:v>
                </c:pt>
                <c:pt idx="79">
                  <c:v>21.323529411764707</c:v>
                </c:pt>
                <c:pt idx="80">
                  <c:v>21.470588235294116</c:v>
                </c:pt>
                <c:pt idx="81">
                  <c:v>21.61764705882353</c:v>
                </c:pt>
                <c:pt idx="82">
                  <c:v>21.764705882352942</c:v>
                </c:pt>
                <c:pt idx="83">
                  <c:v>21.911764705882355</c:v>
                </c:pt>
                <c:pt idx="84">
                  <c:v>22.058823529411764</c:v>
                </c:pt>
                <c:pt idx="85">
                  <c:v>22.205882352941178</c:v>
                </c:pt>
                <c:pt idx="86">
                  <c:v>22.352941176470587</c:v>
                </c:pt>
                <c:pt idx="87">
                  <c:v>22.5</c:v>
                </c:pt>
                <c:pt idx="88">
                  <c:v>22.647058823529413</c:v>
                </c:pt>
                <c:pt idx="89">
                  <c:v>22.794117647058826</c:v>
                </c:pt>
                <c:pt idx="90">
                  <c:v>22.941176470588236</c:v>
                </c:pt>
                <c:pt idx="91">
                  <c:v>23.088235294117645</c:v>
                </c:pt>
                <c:pt idx="92">
                  <c:v>23.235294117647058</c:v>
                </c:pt>
                <c:pt idx="93">
                  <c:v>23.38235294117647</c:v>
                </c:pt>
                <c:pt idx="94">
                  <c:v>23.529411764705884</c:v>
                </c:pt>
                <c:pt idx="95">
                  <c:v>23.676470588235297</c:v>
                </c:pt>
                <c:pt idx="96">
                  <c:v>23.823529411764707</c:v>
                </c:pt>
                <c:pt idx="97">
                  <c:v>23.970588235294116</c:v>
                </c:pt>
                <c:pt idx="98">
                  <c:v>24.11764705882353</c:v>
                </c:pt>
                <c:pt idx="99">
                  <c:v>24.264705882352942</c:v>
                </c:pt>
                <c:pt idx="100">
                  <c:v>24.411764705882355</c:v>
                </c:pt>
                <c:pt idx="101">
                  <c:v>24.558823529411764</c:v>
                </c:pt>
                <c:pt idx="102">
                  <c:v>24.705882352941178</c:v>
                </c:pt>
              </c:numCache>
            </c:numRef>
          </c:xVal>
          <c:yVal>
            <c:numRef>
              <c:f>Governors!$E$20:$E$122</c:f>
              <c:numCache>
                <c:ptCount val="103"/>
                <c:pt idx="0">
                  <c:v>10.478451266210298</c:v>
                </c:pt>
                <c:pt idx="1">
                  <c:v>11.478451266210298</c:v>
                </c:pt>
                <c:pt idx="2">
                  <c:v>11.478451266210298</c:v>
                </c:pt>
                <c:pt idx="3">
                  <c:v>11.570204584344197</c:v>
                </c:pt>
                <c:pt idx="4">
                  <c:v>11.66308268256249</c:v>
                </c:pt>
                <c:pt idx="5">
                  <c:v>11.757093711445497</c:v>
                </c:pt>
                <c:pt idx="6">
                  <c:v>11.85224582157354</c:v>
                </c:pt>
                <c:pt idx="7">
                  <c:v>11.948547163526944</c:v>
                </c:pt>
                <c:pt idx="8">
                  <c:v>12.046005887886029</c:v>
                </c:pt>
                <c:pt idx="9">
                  <c:v>12.144630145231114</c:v>
                </c:pt>
                <c:pt idx="10">
                  <c:v>12.244428086142523</c:v>
                </c:pt>
                <c:pt idx="11">
                  <c:v>12.345407861200577</c:v>
                </c:pt>
                <c:pt idx="12">
                  <c:v>12.4475776209856</c:v>
                </c:pt>
                <c:pt idx="13">
                  <c:v>12.550945516077912</c:v>
                </c:pt>
                <c:pt idx="14">
                  <c:v>12.655519697057832</c:v>
                </c:pt>
                <c:pt idx="15">
                  <c:v>12.761308314505687</c:v>
                </c:pt>
                <c:pt idx="16">
                  <c:v>12.868319519001794</c:v>
                </c:pt>
                <c:pt idx="17">
                  <c:v>12.976561461126478</c:v>
                </c:pt>
                <c:pt idx="18">
                  <c:v>13.086042291460057</c:v>
                </c:pt>
                <c:pt idx="19">
                  <c:v>13.196770160582856</c:v>
                </c:pt>
                <c:pt idx="20">
                  <c:v>13.308753219075196</c:v>
                </c:pt>
                <c:pt idx="21">
                  <c:v>13.421999617517397</c:v>
                </c:pt>
                <c:pt idx="22">
                  <c:v>13.536517506489785</c:v>
                </c:pt>
                <c:pt idx="23">
                  <c:v>13.652315036572675</c:v>
                </c:pt>
                <c:pt idx="24">
                  <c:v>13.769400358346397</c:v>
                </c:pt>
                <c:pt idx="25">
                  <c:v>13.887781622391264</c:v>
                </c:pt>
                <c:pt idx="26">
                  <c:v>14.007466979287603</c:v>
                </c:pt>
                <c:pt idx="27">
                  <c:v>14.128464579615734</c:v>
                </c:pt>
                <c:pt idx="28">
                  <c:v>14.25078257395598</c:v>
                </c:pt>
                <c:pt idx="29">
                  <c:v>14.374429112888661</c:v>
                </c:pt>
                <c:pt idx="30">
                  <c:v>14.499412346994102</c:v>
                </c:pt>
                <c:pt idx="31">
                  <c:v>14.62574042685262</c:v>
                </c:pt>
                <c:pt idx="32">
                  <c:v>14.75342150304454</c:v>
                </c:pt>
                <c:pt idx="33">
                  <c:v>14.882463726150181</c:v>
                </c:pt>
                <c:pt idx="34">
                  <c:v>15.012875246749868</c:v>
                </c:pt>
                <c:pt idx="35">
                  <c:v>15.14466421542392</c:v>
                </c:pt>
                <c:pt idx="36">
                  <c:v>15.27783878275266</c:v>
                </c:pt>
                <c:pt idx="37">
                  <c:v>15.41240709931641</c:v>
                </c:pt>
                <c:pt idx="38">
                  <c:v>15.547476176095712</c:v>
                </c:pt>
                <c:pt idx="39">
                  <c:v>15.683035845648979</c:v>
                </c:pt>
                <c:pt idx="40">
                  <c:v>15.81907584630826</c:v>
                </c:pt>
                <c:pt idx="41">
                  <c:v>15.955585822720778</c:v>
                </c:pt>
                <c:pt idx="42">
                  <c:v>16.092555326384254</c:v>
                </c:pt>
                <c:pt idx="43">
                  <c:v>16.22997381617619</c:v>
                </c:pt>
                <c:pt idx="44">
                  <c:v>16.367830658877132</c:v>
                </c:pt>
                <c:pt idx="45">
                  <c:v>16.506115129688066</c:v>
                </c:pt>
                <c:pt idx="46">
                  <c:v>16.64481641274205</c:v>
                </c:pt>
                <c:pt idx="47">
                  <c:v>16.78392360161013</c:v>
                </c:pt>
                <c:pt idx="48">
                  <c:v>16.923425699801705</c:v>
                </c:pt>
                <c:pt idx="49">
                  <c:v>17.063311621259338</c:v>
                </c:pt>
                <c:pt idx="50">
                  <c:v>17.203570190848225</c:v>
                </c:pt>
                <c:pt idx="51">
                  <c:v>17.344190144840297</c:v>
                </c:pt>
                <c:pt idx="52">
                  <c:v>17.485160131393098</c:v>
                </c:pt>
                <c:pt idx="53">
                  <c:v>17.62646871102352</c:v>
                </c:pt>
                <c:pt idx="54">
                  <c:v>17.76810435707649</c:v>
                </c:pt>
                <c:pt idx="55">
                  <c:v>17.91005545618861</c:v>
                </c:pt>
                <c:pt idx="56">
                  <c:v>18.052310308746975</c:v>
                </c:pt>
                <c:pt idx="57">
                  <c:v>18.194857129343088</c:v>
                </c:pt>
                <c:pt idx="58">
                  <c:v>18.337684047222062</c:v>
                </c:pt>
                <c:pt idx="59">
                  <c:v>18.480779106727134</c:v>
                </c:pt>
                <c:pt idx="60">
                  <c:v>18.624130267739563</c:v>
                </c:pt>
                <c:pt idx="61">
                  <c:v>18.767725406114014</c:v>
                </c:pt>
                <c:pt idx="62">
                  <c:v>18.911552314109453</c:v>
                </c:pt>
                <c:pt idx="63">
                  <c:v>19.05559870081566</c:v>
                </c:pt>
                <c:pt idx="64">
                  <c:v>19.199852192575403</c:v>
                </c:pt>
                <c:pt idx="65">
                  <c:v>19.344300333402362</c:v>
                </c:pt>
                <c:pt idx="66">
                  <c:v>19.488930585394833</c:v>
                </c:pt>
                <c:pt idx="67">
                  <c:v>19.633730329145312</c:v>
                </c:pt>
                <c:pt idx="68">
                  <c:v>19.778686864145982</c:v>
                </c:pt>
                <c:pt idx="69">
                  <c:v>19.923787409190233</c:v>
                </c:pt>
                <c:pt idx="70">
                  <c:v>20.06901910277015</c:v>
                </c:pt>
                <c:pt idx="71">
                  <c:v>20.214369003470175</c:v>
                </c:pt>
                <c:pt idx="72">
                  <c:v>20.359824090356895</c:v>
                </c:pt>
                <c:pt idx="73">
                  <c:v>20.505380012293198</c:v>
                </c:pt>
                <c:pt idx="74">
                  <c:v>20.651032516378134</c:v>
                </c:pt>
                <c:pt idx="75">
                  <c:v>20.796777448380627</c:v>
                </c:pt>
                <c:pt idx="76">
                  <c:v>20.942610753163883</c:v>
                </c:pt>
                <c:pt idx="77">
                  <c:v>21.08852847510066</c:v>
                </c:pt>
                <c:pt idx="78">
                  <c:v>21.234526758479568</c:v>
                </c:pt>
                <c:pt idx="79">
                  <c:v>21.380601847902607</c:v>
                </c:pt>
                <c:pt idx="80">
                  <c:v>21.52675008867412</c:v>
                </c:pt>
                <c:pt idx="81">
                  <c:v>21.672967927181304</c:v>
                </c:pt>
                <c:pt idx="82">
                  <c:v>21.819251911266534</c:v>
                </c:pt>
                <c:pt idx="83">
                  <c:v>21.965598690591516</c:v>
                </c:pt>
                <c:pt idx="84">
                  <c:v>22.112005016993617</c:v>
                </c:pt>
                <c:pt idx="85">
                  <c:v>22.25846774483437</c:v>
                </c:pt>
                <c:pt idx="86">
                  <c:v>22.40498383134041</c:v>
                </c:pt>
                <c:pt idx="87">
                  <c:v>22.551550336936934</c:v>
                </c:pt>
                <c:pt idx="88">
                  <c:v>22.698164425573875</c:v>
                </c:pt>
                <c:pt idx="89">
                  <c:v>22.844823365044903</c:v>
                </c:pt>
                <c:pt idx="90">
                  <c:v>22.99152452729942</c:v>
                </c:pt>
                <c:pt idx="91">
                  <c:v>23.138265388747655</c:v>
                </c:pt>
                <c:pt idx="92">
                  <c:v>23.28504353055902</c:v>
                </c:pt>
                <c:pt idx="93">
                  <c:v>23.431856638953853</c:v>
                </c:pt>
                <c:pt idx="94">
                  <c:v>23.578702505488685</c:v>
                </c:pt>
                <c:pt idx="95">
                  <c:v>23.725579027335122</c:v>
                </c:pt>
                <c:pt idx="96">
                  <c:v>23.87248420755249</c:v>
                </c:pt>
                <c:pt idx="97">
                  <c:v>24.0194161553544</c:v>
                </c:pt>
                <c:pt idx="98">
                  <c:v>24.166373086369255</c:v>
                </c:pt>
                <c:pt idx="99">
                  <c:v>24.313353322894933</c:v>
                </c:pt>
                <c:pt idx="100">
                  <c:v>24.460355294147636</c:v>
                </c:pt>
                <c:pt idx="101">
                  <c:v>24.60737753650513</c:v>
                </c:pt>
                <c:pt idx="102">
                  <c:v>24.754418693744384</c:v>
                </c:pt>
              </c:numCache>
            </c:numRef>
          </c:yVal>
          <c:smooth val="0"/>
        </c:ser>
        <c:axId val="42797060"/>
        <c:axId val="49629221"/>
      </c:scatterChart>
      <c:valAx>
        <c:axId val="42797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Governor's credit, 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629221"/>
        <c:crosses val="autoZero"/>
        <c:crossBetween val="midCat"/>
        <c:dispUnits/>
      </c:valAx>
      <c:valAx>
        <c:axId val="496292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79706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25"/>
          <c:y val="0"/>
          <c:w val="0.88225"/>
          <c:h val="0.937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Governors!$B$22:$B$122</c:f>
              <c:numCache>
                <c:ptCount val="101"/>
                <c:pt idx="0">
                  <c:v>10</c:v>
                </c:pt>
                <c:pt idx="1">
                  <c:v>10.147058823529411</c:v>
                </c:pt>
                <c:pt idx="2">
                  <c:v>10.294117647058824</c:v>
                </c:pt>
                <c:pt idx="3">
                  <c:v>10.441176470588236</c:v>
                </c:pt>
                <c:pt idx="4">
                  <c:v>10.588235294117647</c:v>
                </c:pt>
                <c:pt idx="5">
                  <c:v>10.735294117647058</c:v>
                </c:pt>
                <c:pt idx="6">
                  <c:v>10.882352941176471</c:v>
                </c:pt>
                <c:pt idx="7">
                  <c:v>11.029411764705882</c:v>
                </c:pt>
                <c:pt idx="8">
                  <c:v>11.176470588235293</c:v>
                </c:pt>
                <c:pt idx="9">
                  <c:v>11.323529411764707</c:v>
                </c:pt>
                <c:pt idx="10">
                  <c:v>11.470588235294118</c:v>
                </c:pt>
                <c:pt idx="11">
                  <c:v>11.617647058823529</c:v>
                </c:pt>
                <c:pt idx="12">
                  <c:v>11.764705882352942</c:v>
                </c:pt>
                <c:pt idx="13">
                  <c:v>11.911764705882353</c:v>
                </c:pt>
                <c:pt idx="14">
                  <c:v>12.058823529411764</c:v>
                </c:pt>
                <c:pt idx="15">
                  <c:v>12.205882352941178</c:v>
                </c:pt>
                <c:pt idx="16">
                  <c:v>12.352941176470589</c:v>
                </c:pt>
                <c:pt idx="17">
                  <c:v>12.5</c:v>
                </c:pt>
                <c:pt idx="18">
                  <c:v>12.647058823529411</c:v>
                </c:pt>
                <c:pt idx="19">
                  <c:v>12.794117647058824</c:v>
                </c:pt>
                <c:pt idx="20">
                  <c:v>12.941176470588236</c:v>
                </c:pt>
                <c:pt idx="21">
                  <c:v>13.088235294117647</c:v>
                </c:pt>
                <c:pt idx="22">
                  <c:v>13.235294117647058</c:v>
                </c:pt>
                <c:pt idx="23">
                  <c:v>13.382352941176471</c:v>
                </c:pt>
                <c:pt idx="24">
                  <c:v>13.529411764705882</c:v>
                </c:pt>
                <c:pt idx="25">
                  <c:v>13.676470588235293</c:v>
                </c:pt>
                <c:pt idx="26">
                  <c:v>13.823529411764707</c:v>
                </c:pt>
                <c:pt idx="27">
                  <c:v>13.970588235294118</c:v>
                </c:pt>
                <c:pt idx="28">
                  <c:v>14.117647058823529</c:v>
                </c:pt>
                <c:pt idx="29">
                  <c:v>14.264705882352942</c:v>
                </c:pt>
                <c:pt idx="30">
                  <c:v>14.411764705882353</c:v>
                </c:pt>
                <c:pt idx="31">
                  <c:v>14.558823529411764</c:v>
                </c:pt>
                <c:pt idx="32">
                  <c:v>14.705882352941178</c:v>
                </c:pt>
                <c:pt idx="33">
                  <c:v>14.852941176470589</c:v>
                </c:pt>
                <c:pt idx="34">
                  <c:v>15</c:v>
                </c:pt>
                <c:pt idx="35">
                  <c:v>15.147058823529413</c:v>
                </c:pt>
                <c:pt idx="36">
                  <c:v>15.294117647058822</c:v>
                </c:pt>
                <c:pt idx="37">
                  <c:v>15.441176470588236</c:v>
                </c:pt>
                <c:pt idx="38">
                  <c:v>15.588235294117649</c:v>
                </c:pt>
                <c:pt idx="39">
                  <c:v>15.735294117647058</c:v>
                </c:pt>
                <c:pt idx="40">
                  <c:v>15.882352941176471</c:v>
                </c:pt>
                <c:pt idx="41">
                  <c:v>16.029411764705884</c:v>
                </c:pt>
                <c:pt idx="42">
                  <c:v>16.176470588235293</c:v>
                </c:pt>
                <c:pt idx="43">
                  <c:v>16.323529411764707</c:v>
                </c:pt>
                <c:pt idx="44">
                  <c:v>16.470588235294116</c:v>
                </c:pt>
                <c:pt idx="45">
                  <c:v>16.61764705882353</c:v>
                </c:pt>
                <c:pt idx="46">
                  <c:v>16.764705882352942</c:v>
                </c:pt>
                <c:pt idx="47">
                  <c:v>16.911764705882355</c:v>
                </c:pt>
                <c:pt idx="48">
                  <c:v>17.058823529411764</c:v>
                </c:pt>
                <c:pt idx="49">
                  <c:v>17.205882352941178</c:v>
                </c:pt>
                <c:pt idx="50">
                  <c:v>17.352941176470587</c:v>
                </c:pt>
                <c:pt idx="51">
                  <c:v>17.5</c:v>
                </c:pt>
                <c:pt idx="52">
                  <c:v>17.647058823529413</c:v>
                </c:pt>
                <c:pt idx="53">
                  <c:v>17.794117647058822</c:v>
                </c:pt>
                <c:pt idx="54">
                  <c:v>17.941176470588236</c:v>
                </c:pt>
                <c:pt idx="55">
                  <c:v>18.088235294117645</c:v>
                </c:pt>
                <c:pt idx="56">
                  <c:v>18.235294117647058</c:v>
                </c:pt>
                <c:pt idx="57">
                  <c:v>18.38235294117647</c:v>
                </c:pt>
                <c:pt idx="58">
                  <c:v>18.529411764705884</c:v>
                </c:pt>
                <c:pt idx="59">
                  <c:v>18.676470588235297</c:v>
                </c:pt>
                <c:pt idx="60">
                  <c:v>18.823529411764707</c:v>
                </c:pt>
                <c:pt idx="61">
                  <c:v>18.970588235294116</c:v>
                </c:pt>
                <c:pt idx="62">
                  <c:v>19.11764705882353</c:v>
                </c:pt>
                <c:pt idx="63">
                  <c:v>19.264705882352942</c:v>
                </c:pt>
                <c:pt idx="64">
                  <c:v>19.411764705882355</c:v>
                </c:pt>
                <c:pt idx="65">
                  <c:v>19.558823529411764</c:v>
                </c:pt>
                <c:pt idx="66">
                  <c:v>19.705882352941178</c:v>
                </c:pt>
                <c:pt idx="67">
                  <c:v>19.852941176470587</c:v>
                </c:pt>
                <c:pt idx="68">
                  <c:v>20</c:v>
                </c:pt>
                <c:pt idx="69">
                  <c:v>20.147058823529413</c:v>
                </c:pt>
                <c:pt idx="70">
                  <c:v>20.294117647058826</c:v>
                </c:pt>
                <c:pt idx="71">
                  <c:v>20.441176470588236</c:v>
                </c:pt>
                <c:pt idx="72">
                  <c:v>20.588235294117645</c:v>
                </c:pt>
                <c:pt idx="73">
                  <c:v>20.735294117647058</c:v>
                </c:pt>
                <c:pt idx="74">
                  <c:v>20.88235294117647</c:v>
                </c:pt>
                <c:pt idx="75">
                  <c:v>21.029411764705884</c:v>
                </c:pt>
                <c:pt idx="76">
                  <c:v>21.176470588235297</c:v>
                </c:pt>
                <c:pt idx="77">
                  <c:v>21.323529411764707</c:v>
                </c:pt>
                <c:pt idx="78">
                  <c:v>21.470588235294116</c:v>
                </c:pt>
                <c:pt idx="79">
                  <c:v>21.61764705882353</c:v>
                </c:pt>
                <c:pt idx="80">
                  <c:v>21.764705882352942</c:v>
                </c:pt>
                <c:pt idx="81">
                  <c:v>21.911764705882355</c:v>
                </c:pt>
                <c:pt idx="82">
                  <c:v>22.058823529411764</c:v>
                </c:pt>
                <c:pt idx="83">
                  <c:v>22.205882352941178</c:v>
                </c:pt>
                <c:pt idx="84">
                  <c:v>22.352941176470587</c:v>
                </c:pt>
                <c:pt idx="85">
                  <c:v>22.5</c:v>
                </c:pt>
                <c:pt idx="86">
                  <c:v>22.647058823529413</c:v>
                </c:pt>
                <c:pt idx="87">
                  <c:v>22.794117647058826</c:v>
                </c:pt>
                <c:pt idx="88">
                  <c:v>22.941176470588236</c:v>
                </c:pt>
                <c:pt idx="89">
                  <c:v>23.088235294117645</c:v>
                </c:pt>
                <c:pt idx="90">
                  <c:v>23.235294117647058</c:v>
                </c:pt>
                <c:pt idx="91">
                  <c:v>23.38235294117647</c:v>
                </c:pt>
                <c:pt idx="92">
                  <c:v>23.529411764705884</c:v>
                </c:pt>
                <c:pt idx="93">
                  <c:v>23.676470588235297</c:v>
                </c:pt>
                <c:pt idx="94">
                  <c:v>23.823529411764707</c:v>
                </c:pt>
                <c:pt idx="95">
                  <c:v>23.970588235294116</c:v>
                </c:pt>
                <c:pt idx="96">
                  <c:v>24.11764705882353</c:v>
                </c:pt>
                <c:pt idx="97">
                  <c:v>24.264705882352942</c:v>
                </c:pt>
                <c:pt idx="98">
                  <c:v>24.411764705882355</c:v>
                </c:pt>
                <c:pt idx="99">
                  <c:v>24.558823529411764</c:v>
                </c:pt>
                <c:pt idx="100">
                  <c:v>24.705882352941178</c:v>
                </c:pt>
              </c:numCache>
            </c:numRef>
          </c:xVal>
          <c:yVal>
            <c:numRef>
              <c:f>Governors!$F$22:$F$122</c:f>
              <c:numCache>
                <c:ptCount val="101"/>
                <c:pt idx="0">
                  <c:v>17.999999999999993</c:v>
                </c:pt>
                <c:pt idx="1">
                  <c:v>17.7410071942446</c:v>
                </c:pt>
                <c:pt idx="2">
                  <c:v>17.487564234326825</c:v>
                </c:pt>
                <c:pt idx="3">
                  <c:v>17.23951367781155</c:v>
                </c:pt>
                <c:pt idx="4">
                  <c:v>16.99670362601139</c:v>
                </c:pt>
                <c:pt idx="5">
                  <c:v>16.75898749138186</c:v>
                </c:pt>
                <c:pt idx="6">
                  <c:v>16.52622377622378</c:v>
                </c:pt>
                <c:pt idx="7">
                  <c:v>16.298275862068976</c:v>
                </c:pt>
                <c:pt idx="8">
                  <c:v>16.075011809163914</c:v>
                </c:pt>
                <c:pt idx="9">
                  <c:v>15.856304165501829</c:v>
                </c:pt>
                <c:pt idx="10">
                  <c:v>15.642029784886935</c:v>
                </c:pt>
                <c:pt idx="11">
                  <c:v>15.432069653546172</c:v>
                </c:pt>
                <c:pt idx="12">
                  <c:v>15.226308724832219</c:v>
                </c:pt>
                <c:pt idx="13">
                  <c:v>15.024635761589412</c:v>
                </c:pt>
                <c:pt idx="14">
                  <c:v>14.826943185779017</c:v>
                </c:pt>
                <c:pt idx="15">
                  <c:v>14.633126934984523</c:v>
                </c:pt>
                <c:pt idx="16">
                  <c:v>14.443086325439271</c:v>
                </c:pt>
                <c:pt idx="17">
                  <c:v>14.256723921240054</c:v>
                </c:pt>
                <c:pt idx="18">
                  <c:v>14.073945409429282</c:v>
                </c:pt>
                <c:pt idx="19">
                  <c:v>13.89465948064675</c:v>
                </c:pt>
                <c:pt idx="20">
                  <c:v>13.718777715068937</c:v>
                </c:pt>
                <c:pt idx="21">
                  <c:v>13.546214473369957</c:v>
                </c:pt>
                <c:pt idx="22">
                  <c:v>13.37688679245283</c:v>
                </c:pt>
                <c:pt idx="23">
                  <c:v>13.210714285714285</c:v>
                </c:pt>
                <c:pt idx="24">
                  <c:v>13.047619047619051</c:v>
                </c:pt>
                <c:pt idx="25">
                  <c:v>12.887525562372192</c:v>
                </c:pt>
                <c:pt idx="26">
                  <c:v>12.730360616489603</c:v>
                </c:pt>
                <c:pt idx="27">
                  <c:v>12.576053215077609</c:v>
                </c:pt>
                <c:pt idx="28">
                  <c:v>12.424534501642936</c:v>
                </c:pt>
                <c:pt idx="29">
                  <c:v>12.27573768126398</c:v>
                </c:pt>
                <c:pt idx="30">
                  <c:v>12.129597946963216</c:v>
                </c:pt>
                <c:pt idx="31">
                  <c:v>11.98605240912933</c:v>
                </c:pt>
                <c:pt idx="32">
                  <c:v>11.845040027845455</c:v>
                </c:pt>
                <c:pt idx="33">
                  <c:v>11.706501547987612</c:v>
                </c:pt>
                <c:pt idx="34">
                  <c:v>11.570379436964505</c:v>
                </c:pt>
                <c:pt idx="35">
                  <c:v>11.522241916782296</c:v>
                </c:pt>
                <c:pt idx="36">
                  <c:v>11.47546863184682</c:v>
                </c:pt>
                <c:pt idx="37">
                  <c:v>11.43004015206792</c:v>
                </c:pt>
                <c:pt idx="38">
                  <c:v>11.385937843591163</c:v>
                </c:pt>
                <c:pt idx="39">
                  <c:v>11.343143849263177</c:v>
                </c:pt>
                <c:pt idx="40">
                  <c:v>11.301641070145998</c:v>
                </c:pt>
                <c:pt idx="41">
                  <c:v>11.261413148044392</c:v>
                </c:pt>
                <c:pt idx="42">
                  <c:v>11.222444449012803</c:v>
                </c:pt>
                <c:pt idx="43">
                  <c:v>11.18472004781051</c:v>
                </c:pt>
                <c:pt idx="44">
                  <c:v>11.148225713276089</c:v>
                </c:pt>
                <c:pt idx="45">
                  <c:v>11.112947894594257</c:v>
                </c:pt>
                <c:pt idx="46">
                  <c:v>11.078873708430168</c:v>
                </c:pt>
                <c:pt idx="47">
                  <c:v>11.045990926908402</c:v>
                </c:pt>
                <c:pt idx="48">
                  <c:v>11.014287966415475</c:v>
                </c:pt>
                <c:pt idx="49">
                  <c:v>10.98375387720685</c:v>
                </c:pt>
                <c:pt idx="50">
                  <c:v>10.954378333801017</c:v>
                </c:pt>
                <c:pt idx="51">
                  <c:v>10.926151626145046</c:v>
                </c:pt>
                <c:pt idx="52">
                  <c:v>10.899064651537675</c:v>
                </c:pt>
                <c:pt idx="53">
                  <c:v>10.873108907297691</c:v>
                </c:pt>
                <c:pt idx="54">
                  <c:v>10.848276484167036</c:v>
                </c:pt>
                <c:pt idx="55">
                  <c:v>10.82456006043955</c:v>
                </c:pt>
                <c:pt idx="56">
                  <c:v>10.801952896808109</c:v>
                </c:pt>
                <c:pt idx="57">
                  <c:v>10.780448831924218</c:v>
                </c:pt>
                <c:pt idx="58">
                  <c:v>10.760042278665953</c:v>
                </c:pt>
                <c:pt idx="59">
                  <c:v>10.740728221111569</c:v>
                </c:pt>
                <c:pt idx="60">
                  <c:v>10.72250221221777</c:v>
                </c:pt>
                <c:pt idx="61">
                  <c:v>10.70536037220316</c:v>
                </c:pt>
                <c:pt idx="62">
                  <c:v>10.689299387639146</c:v>
                </c:pt>
                <c:pt idx="63">
                  <c:v>10.674316511251982</c:v>
                </c:pt>
                <c:pt idx="64">
                  <c:v>10.660409562441604</c:v>
                </c:pt>
                <c:pt idx="65">
                  <c:v>10.64757692852436</c:v>
                </c:pt>
                <c:pt idx="66">
                  <c:v>10.635817566708562</c:v>
                </c:pt>
                <c:pt idx="67">
                  <c:v>10.625131006813758</c:v>
                </c:pt>
                <c:pt idx="68">
                  <c:v>10.615517354746155</c:v>
                </c:pt>
                <c:pt idx="69">
                  <c:v>10.606977296744844</c:v>
                </c:pt>
                <c:pt idx="70">
                  <c:v>10.59880339717946</c:v>
                </c:pt>
                <c:pt idx="71">
                  <c:v>10.590986049992873</c:v>
                </c:pt>
                <c:pt idx="72">
                  <c:v>10.583515736463688</c:v>
                </c:pt>
                <c:pt idx="73">
                  <c:v>10.576383020067913</c:v>
                </c:pt>
                <c:pt idx="74">
                  <c:v>10.56957854150911</c:v>
                </c:pt>
                <c:pt idx="75">
                  <c:v>10.563093013912928</c:v>
                </c:pt>
                <c:pt idx="76">
                  <c:v>10.556917218182033</c:v>
                </c:pt>
                <c:pt idx="77">
                  <c:v>10.551041998507852</c:v>
                </c:pt>
                <c:pt idx="78">
                  <c:v>10.545458258035799</c:v>
                </c:pt>
                <c:pt idx="79">
                  <c:v>10.540156954680812</c:v>
                </c:pt>
                <c:pt idx="80">
                  <c:v>10.535129097090511</c:v>
                </c:pt>
                <c:pt idx="81">
                  <c:v>10.530365740753133</c:v>
                </c:pt>
                <c:pt idx="82">
                  <c:v>10.525857984248146</c:v>
                </c:pt>
                <c:pt idx="83">
                  <c:v>10.521596965637139</c:v>
                </c:pt>
                <c:pt idx="84">
                  <c:v>10.517573858993194</c:v>
                </c:pt>
                <c:pt idx="85">
                  <c:v>10.51377987106688</c:v>
                </c:pt>
                <c:pt idx="86">
                  <c:v>10.510206238087443</c:v>
                </c:pt>
                <c:pt idx="87">
                  <c:v>10.506844222697687</c:v>
                </c:pt>
                <c:pt idx="88">
                  <c:v>10.50368511102141</c:v>
                </c:pt>
                <c:pt idx="89">
                  <c:v>10.500720209862394</c:v>
                </c:pt>
                <c:pt idx="90">
                  <c:v>10.497940844034046</c:v>
                </c:pt>
                <c:pt idx="91">
                  <c:v>10.495338353818926</c:v>
                </c:pt>
                <c:pt idx="92">
                  <c:v>10.49290409255775</c:v>
                </c:pt>
                <c:pt idx="93">
                  <c:v>10.490629424367217</c:v>
                </c:pt>
                <c:pt idx="94">
                  <c:v>10.48850572198656</c:v>
                </c:pt>
                <c:pt idx="95">
                  <c:v>10.486524364752505</c:v>
                </c:pt>
                <c:pt idx="96">
                  <c:v>10.484676736702644</c:v>
                </c:pt>
                <c:pt idx="97">
                  <c:v>10.482954224807242</c:v>
                </c:pt>
                <c:pt idx="98">
                  <c:v>10.481348217329598</c:v>
                </c:pt>
                <c:pt idx="99">
                  <c:v>10.479850102315249</c:v>
                </c:pt>
                <c:pt idx="100">
                  <c:v>10.478451266210298</c:v>
                </c:pt>
              </c:numCache>
            </c:numRef>
          </c:yVal>
          <c:smooth val="0"/>
        </c:ser>
        <c:axId val="44009806"/>
        <c:axId val="60543935"/>
      </c:scatterChart>
      <c:valAx>
        <c:axId val="44009806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Upper bound on leader's debt to governor, 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543935"/>
        <c:crosses val="autoZero"/>
        <c:crossBetween val="midCat"/>
        <c:dispUnits/>
      </c:valAx>
      <c:valAx>
        <c:axId val="60543935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4400980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0"/>
          <c:w val="0.882"/>
          <c:h val="0.9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Governors!$B$22:$B$123</c:f>
              <c:numCache>
                <c:ptCount val="102"/>
                <c:pt idx="0">
                  <c:v>10</c:v>
                </c:pt>
                <c:pt idx="1">
                  <c:v>10.147058823529411</c:v>
                </c:pt>
                <c:pt idx="2">
                  <c:v>10.294117647058824</c:v>
                </c:pt>
                <c:pt idx="3">
                  <c:v>10.441176470588236</c:v>
                </c:pt>
                <c:pt idx="4">
                  <c:v>10.588235294117647</c:v>
                </c:pt>
                <c:pt idx="5">
                  <c:v>10.735294117647058</c:v>
                </c:pt>
                <c:pt idx="6">
                  <c:v>10.882352941176471</c:v>
                </c:pt>
                <c:pt idx="7">
                  <c:v>11.029411764705882</c:v>
                </c:pt>
                <c:pt idx="8">
                  <c:v>11.176470588235293</c:v>
                </c:pt>
                <c:pt idx="9">
                  <c:v>11.323529411764707</c:v>
                </c:pt>
                <c:pt idx="10">
                  <c:v>11.470588235294118</c:v>
                </c:pt>
                <c:pt idx="11">
                  <c:v>11.617647058823529</c:v>
                </c:pt>
                <c:pt idx="12">
                  <c:v>11.764705882352942</c:v>
                </c:pt>
                <c:pt idx="13">
                  <c:v>11.911764705882353</c:v>
                </c:pt>
                <c:pt idx="14">
                  <c:v>12.058823529411764</c:v>
                </c:pt>
                <c:pt idx="15">
                  <c:v>12.205882352941178</c:v>
                </c:pt>
                <c:pt idx="16">
                  <c:v>12.352941176470589</c:v>
                </c:pt>
                <c:pt idx="17">
                  <c:v>12.5</c:v>
                </c:pt>
                <c:pt idx="18">
                  <c:v>12.647058823529411</c:v>
                </c:pt>
                <c:pt idx="19">
                  <c:v>12.794117647058824</c:v>
                </c:pt>
                <c:pt idx="20">
                  <c:v>12.941176470588236</c:v>
                </c:pt>
                <c:pt idx="21">
                  <c:v>13.088235294117647</c:v>
                </c:pt>
                <c:pt idx="22">
                  <c:v>13.235294117647058</c:v>
                </c:pt>
                <c:pt idx="23">
                  <c:v>13.382352941176471</c:v>
                </c:pt>
                <c:pt idx="24">
                  <c:v>13.529411764705882</c:v>
                </c:pt>
                <c:pt idx="25">
                  <c:v>13.676470588235293</c:v>
                </c:pt>
                <c:pt idx="26">
                  <c:v>13.823529411764707</c:v>
                </c:pt>
                <c:pt idx="27">
                  <c:v>13.970588235294118</c:v>
                </c:pt>
                <c:pt idx="28">
                  <c:v>14.117647058823529</c:v>
                </c:pt>
                <c:pt idx="29">
                  <c:v>14.264705882352942</c:v>
                </c:pt>
                <c:pt idx="30">
                  <c:v>14.411764705882353</c:v>
                </c:pt>
                <c:pt idx="31">
                  <c:v>14.558823529411764</c:v>
                </c:pt>
                <c:pt idx="32">
                  <c:v>14.705882352941178</c:v>
                </c:pt>
                <c:pt idx="33">
                  <c:v>14.852941176470589</c:v>
                </c:pt>
                <c:pt idx="34">
                  <c:v>15</c:v>
                </c:pt>
                <c:pt idx="35">
                  <c:v>15.147058823529413</c:v>
                </c:pt>
                <c:pt idx="36">
                  <c:v>15.294117647058822</c:v>
                </c:pt>
                <c:pt idx="37">
                  <c:v>15.441176470588236</c:v>
                </c:pt>
                <c:pt idx="38">
                  <c:v>15.588235294117649</c:v>
                </c:pt>
                <c:pt idx="39">
                  <c:v>15.735294117647058</c:v>
                </c:pt>
                <c:pt idx="40">
                  <c:v>15.882352941176471</c:v>
                </c:pt>
                <c:pt idx="41">
                  <c:v>16.029411764705884</c:v>
                </c:pt>
                <c:pt idx="42">
                  <c:v>16.176470588235293</c:v>
                </c:pt>
                <c:pt idx="43">
                  <c:v>16.323529411764707</c:v>
                </c:pt>
                <c:pt idx="44">
                  <c:v>16.470588235294116</c:v>
                </c:pt>
                <c:pt idx="45">
                  <c:v>16.61764705882353</c:v>
                </c:pt>
                <c:pt idx="46">
                  <c:v>16.764705882352942</c:v>
                </c:pt>
                <c:pt idx="47">
                  <c:v>16.911764705882355</c:v>
                </c:pt>
                <c:pt idx="48">
                  <c:v>17.058823529411764</c:v>
                </c:pt>
                <c:pt idx="49">
                  <c:v>17.205882352941178</c:v>
                </c:pt>
                <c:pt idx="50">
                  <c:v>17.352941176470587</c:v>
                </c:pt>
                <c:pt idx="51">
                  <c:v>17.5</c:v>
                </c:pt>
                <c:pt idx="52">
                  <c:v>17.647058823529413</c:v>
                </c:pt>
                <c:pt idx="53">
                  <c:v>17.794117647058822</c:v>
                </c:pt>
                <c:pt idx="54">
                  <c:v>17.941176470588236</c:v>
                </c:pt>
                <c:pt idx="55">
                  <c:v>18.088235294117645</c:v>
                </c:pt>
                <c:pt idx="56">
                  <c:v>18.235294117647058</c:v>
                </c:pt>
                <c:pt idx="57">
                  <c:v>18.38235294117647</c:v>
                </c:pt>
                <c:pt idx="58">
                  <c:v>18.529411764705884</c:v>
                </c:pt>
                <c:pt idx="59">
                  <c:v>18.676470588235297</c:v>
                </c:pt>
                <c:pt idx="60">
                  <c:v>18.823529411764707</c:v>
                </c:pt>
                <c:pt idx="61">
                  <c:v>18.970588235294116</c:v>
                </c:pt>
                <c:pt idx="62">
                  <c:v>19.11764705882353</c:v>
                </c:pt>
                <c:pt idx="63">
                  <c:v>19.264705882352942</c:v>
                </c:pt>
                <c:pt idx="64">
                  <c:v>19.411764705882355</c:v>
                </c:pt>
                <c:pt idx="65">
                  <c:v>19.558823529411764</c:v>
                </c:pt>
                <c:pt idx="66">
                  <c:v>19.705882352941178</c:v>
                </c:pt>
                <c:pt idx="67">
                  <c:v>19.852941176470587</c:v>
                </c:pt>
                <c:pt idx="68">
                  <c:v>20</c:v>
                </c:pt>
                <c:pt idx="69">
                  <c:v>20.147058823529413</c:v>
                </c:pt>
                <c:pt idx="70">
                  <c:v>20.294117647058826</c:v>
                </c:pt>
                <c:pt idx="71">
                  <c:v>20.441176470588236</c:v>
                </c:pt>
                <c:pt idx="72">
                  <c:v>20.588235294117645</c:v>
                </c:pt>
                <c:pt idx="73">
                  <c:v>20.735294117647058</c:v>
                </c:pt>
                <c:pt idx="74">
                  <c:v>20.88235294117647</c:v>
                </c:pt>
                <c:pt idx="75">
                  <c:v>21.029411764705884</c:v>
                </c:pt>
                <c:pt idx="76">
                  <c:v>21.176470588235297</c:v>
                </c:pt>
                <c:pt idx="77">
                  <c:v>21.323529411764707</c:v>
                </c:pt>
                <c:pt idx="78">
                  <c:v>21.470588235294116</c:v>
                </c:pt>
                <c:pt idx="79">
                  <c:v>21.61764705882353</c:v>
                </c:pt>
                <c:pt idx="80">
                  <c:v>21.764705882352942</c:v>
                </c:pt>
                <c:pt idx="81">
                  <c:v>21.911764705882355</c:v>
                </c:pt>
                <c:pt idx="82">
                  <c:v>22.058823529411764</c:v>
                </c:pt>
                <c:pt idx="83">
                  <c:v>22.205882352941178</c:v>
                </c:pt>
                <c:pt idx="84">
                  <c:v>22.352941176470587</c:v>
                </c:pt>
                <c:pt idx="85">
                  <c:v>22.5</c:v>
                </c:pt>
                <c:pt idx="86">
                  <c:v>22.647058823529413</c:v>
                </c:pt>
                <c:pt idx="87">
                  <c:v>22.794117647058826</c:v>
                </c:pt>
                <c:pt idx="88">
                  <c:v>22.941176470588236</c:v>
                </c:pt>
                <c:pt idx="89">
                  <c:v>23.088235294117645</c:v>
                </c:pt>
                <c:pt idx="90">
                  <c:v>23.235294117647058</c:v>
                </c:pt>
                <c:pt idx="91">
                  <c:v>23.38235294117647</c:v>
                </c:pt>
                <c:pt idx="92">
                  <c:v>23.529411764705884</c:v>
                </c:pt>
                <c:pt idx="93">
                  <c:v>23.676470588235297</c:v>
                </c:pt>
                <c:pt idx="94">
                  <c:v>23.823529411764707</c:v>
                </c:pt>
                <c:pt idx="95">
                  <c:v>23.970588235294116</c:v>
                </c:pt>
                <c:pt idx="96">
                  <c:v>24.11764705882353</c:v>
                </c:pt>
                <c:pt idx="97">
                  <c:v>24.264705882352942</c:v>
                </c:pt>
                <c:pt idx="98">
                  <c:v>24.411764705882355</c:v>
                </c:pt>
                <c:pt idx="99">
                  <c:v>24.558823529411764</c:v>
                </c:pt>
                <c:pt idx="100">
                  <c:v>24.705882352941178</c:v>
                </c:pt>
                <c:pt idx="101">
                  <c:v>24.705882352941178</c:v>
                </c:pt>
              </c:numCache>
            </c:numRef>
          </c:xVal>
          <c:yVal>
            <c:numRef>
              <c:f>Governors!$H$22:$H$123</c:f>
              <c:numCache>
                <c:ptCount val="102"/>
                <c:pt idx="0">
                  <c:v>0</c:v>
                </c:pt>
                <c:pt idx="1">
                  <c:v>0.00026218814637690713</c:v>
                </c:pt>
                <c:pt idx="2">
                  <c:v>0.0005342002515671407</c:v>
                </c:pt>
                <c:pt idx="3">
                  <c:v>0.0008168718875782854</c:v>
                </c:pt>
                <c:pt idx="4">
                  <c:v>0.0011109646354726666</c:v>
                </c:pt>
                <c:pt idx="5">
                  <c:v>0.0014171708036783137</c:v>
                </c:pt>
                <c:pt idx="6">
                  <c:v>0.0017361178544503808</c:v>
                </c:pt>
                <c:pt idx="7">
                  <c:v>0.002068372557246012</c:v>
                </c:pt>
                <c:pt idx="8">
                  <c:v>0.0024144448864983348</c:v>
                </c:pt>
                <c:pt idx="9">
                  <c:v>0.002774791680080435</c:v>
                </c:pt>
                <c:pt idx="10">
                  <c:v>0.0031498200736537196</c:v>
                </c:pt>
                <c:pt idx="11">
                  <c:v>0.0035398907250718814</c:v>
                </c:pt>
                <c:pt idx="12">
                  <c:v>0.003945320842060118</c:v>
                </c:pt>
                <c:pt idx="13">
                  <c:v>0.004366387025510177</c:v>
                </c:pt>
                <c:pt idx="14">
                  <c:v>0.004803327939916335</c:v>
                </c:pt>
                <c:pt idx="15">
                  <c:v>0.005256346821710611</c:v>
                </c:pt>
                <c:pt idx="16">
                  <c:v>0.005725613835554588</c:v>
                </c:pt>
                <c:pt idx="17">
                  <c:v>0.006211268287984351</c:v>
                </c:pt>
                <c:pt idx="18">
                  <c:v>0.006713420707194939</c:v>
                </c:pt>
                <c:pt idx="19">
                  <c:v>0.00723215479718009</c:v>
                </c:pt>
                <c:pt idx="20">
                  <c:v>0.007767529273914997</c:v>
                </c:pt>
                <c:pt idx="21">
                  <c:v>0.008319579590773674</c:v>
                </c:pt>
                <c:pt idx="22">
                  <c:v>0.008888319559914093</c:v>
                </c:pt>
                <c:pt idx="23">
                  <c:v>0.009473742875936053</c:v>
                </c:pt>
                <c:pt idx="24">
                  <c:v>0.010075824547715273</c:v>
                </c:pt>
                <c:pt idx="25">
                  <c:v>0.010694522243944515</c:v>
                </c:pt>
                <c:pt idx="26">
                  <c:v>0.011329777557567366</c:v>
                </c:pt>
                <c:pt idx="27">
                  <c:v>0.011981517193961344</c:v>
                </c:pt>
                <c:pt idx="28">
                  <c:v>0.01264965408742702</c:v>
                </c:pt>
                <c:pt idx="29">
                  <c:v>0.013334088450256298</c:v>
                </c:pt>
                <c:pt idx="30">
                  <c:v>0.014034708758385861</c:v>
                </c:pt>
                <c:pt idx="31">
                  <c:v>0.014751392677398778</c:v>
                </c:pt>
                <c:pt idx="32">
                  <c:v>0.015484007932402344</c:v>
                </c:pt>
                <c:pt idx="33">
                  <c:v>0.01630908779618534</c:v>
                </c:pt>
                <c:pt idx="34">
                  <c:v>0.017222957096044156</c:v>
                </c:pt>
                <c:pt idx="35">
                  <c:v>0.018222076173190715</c:v>
                </c:pt>
                <c:pt idx="36">
                  <c:v>0.01930303550969792</c:v>
                </c:pt>
                <c:pt idx="37">
                  <c:v>0.020462550590353068</c:v>
                </c:pt>
                <c:pt idx="38">
                  <c:v>0.021697456988078567</c:v>
                </c:pt>
                <c:pt idx="39">
                  <c:v>0.023004705662181935</c:v>
                </c:pt>
                <c:pt idx="40">
                  <c:v>0.024381358459262925</c:v>
                </c:pt>
                <c:pt idx="41">
                  <c:v>0.025824583807141366</c:v>
                </c:pt>
                <c:pt idx="42">
                  <c:v>0.027331652592669897</c:v>
                </c:pt>
                <c:pt idx="43">
                  <c:v>0.02889993421477355</c:v>
                </c:pt>
                <c:pt idx="44">
                  <c:v>0.030526892804502936</c:v>
                </c:pt>
                <c:pt idx="45">
                  <c:v>0.03221008360431421</c:v>
                </c:pt>
                <c:pt idx="46">
                  <c:v>0.03394714949918376</c:v>
                </c:pt>
                <c:pt idx="47">
                  <c:v>0.03573581769254386</c:v>
                </c:pt>
                <c:pt idx="48">
                  <c:v>0.0375738965203819</c:v>
                </c:pt>
                <c:pt idx="49">
                  <c:v>0.039459272397181167</c:v>
                </c:pt>
                <c:pt idx="50">
                  <c:v>0.04138990688769628</c:v>
                </c:pt>
                <c:pt idx="51">
                  <c:v>0.043363833898861115</c:v>
                </c:pt>
                <c:pt idx="52">
                  <c:v>0.04537915698640582</c:v>
                </c:pt>
                <c:pt idx="53">
                  <c:v>0.04743404677103136</c:v>
                </c:pt>
                <c:pt idx="54">
                  <c:v>0.049526738459241604</c:v>
                </c:pt>
                <c:pt idx="55">
                  <c:v>0.05165552946417529</c:v>
                </c:pt>
                <c:pt idx="56">
                  <c:v>0.05381877712200456</c:v>
                </c:pt>
                <c:pt idx="57">
                  <c:v>0.05601489649968572</c:v>
                </c:pt>
                <c:pt idx="58">
                  <c:v>0.05824235829004676</c:v>
                </c:pt>
                <c:pt idx="59">
                  <c:v>0.060499686790396634</c:v>
                </c:pt>
                <c:pt idx="60">
                  <c:v>0.0627854579610152</c:v>
                </c:pt>
                <c:pt idx="61">
                  <c:v>0.06509829756006358</c:v>
                </c:pt>
                <c:pt idx="62">
                  <c:v>0.06743687935161635</c:v>
                </c:pt>
                <c:pt idx="63">
                  <c:v>0.0697999233836708</c:v>
                </c:pt>
                <c:pt idx="64">
                  <c:v>0.07218619433314044</c:v>
                </c:pt>
                <c:pt idx="65">
                  <c:v>0.07459449991497691</c:v>
                </c:pt>
                <c:pt idx="66">
                  <c:v>0.0770236893527001</c:v>
                </c:pt>
                <c:pt idx="67">
                  <c:v>0.0860283362858445</c:v>
                </c:pt>
                <c:pt idx="68">
                  <c:v>0.0949018475840403</c:v>
                </c:pt>
                <c:pt idx="69">
                  <c:v>0.10364675726921857</c:v>
                </c:pt>
                <c:pt idx="70">
                  <c:v>0.11226553844932219</c:v>
                </c:pt>
                <c:pt idx="71">
                  <c:v>0.12076060506703201</c:v>
                </c:pt>
                <c:pt idx="72">
                  <c:v>0.1291343135902031</c:v>
                </c:pt>
                <c:pt idx="73">
                  <c:v>0.1373889646462202</c:v>
                </c:pt>
                <c:pt idx="74">
                  <c:v>0.14552680460238798</c:v>
                </c:pt>
                <c:pt idx="75">
                  <c:v>0.15355002709438437</c:v>
                </c:pt>
                <c:pt idx="76">
                  <c:v>0.16146077450471719</c:v>
                </c:pt>
                <c:pt idx="77">
                  <c:v>0.16926113939304532</c:v>
                </c:pt>
                <c:pt idx="78">
                  <c:v>0.17695316588014676</c:v>
                </c:pt>
                <c:pt idx="79">
                  <c:v>0.1845388509872421</c:v>
                </c:pt>
                <c:pt idx="80">
                  <c:v>0.1920201459323133</c:v>
                </c:pt>
                <c:pt idx="81">
                  <c:v>0.19939895738498625</c:v>
                </c:pt>
                <c:pt idx="82">
                  <c:v>0.20667714868148623</c:v>
                </c:pt>
                <c:pt idx="83">
                  <c:v>0.21385654100111073</c:v>
                </c:pt>
                <c:pt idx="84">
                  <c:v>0.22093891450560532</c:v>
                </c:pt>
                <c:pt idx="85">
                  <c:v>0.22792600944277486</c:v>
                </c:pt>
                <c:pt idx="86">
                  <c:v>0.23481952721560717</c:v>
                </c:pt>
                <c:pt idx="87">
                  <c:v>0.24162113141813513</c:v>
                </c:pt>
                <c:pt idx="88">
                  <c:v>0.24833244883921357</c:v>
                </c:pt>
                <c:pt idx="89">
                  <c:v>0.2549550704353438</c:v>
                </c:pt>
                <c:pt idx="90">
                  <c:v>0.2614905522736303</c:v>
                </c:pt>
                <c:pt idx="91">
                  <c:v>0.26794041644591293</c:v>
                </c:pt>
                <c:pt idx="92">
                  <c:v>0.2743061519550789</c:v>
                </c:pt>
                <c:pt idx="93">
                  <c:v>0.28058921557451544</c:v>
                </c:pt>
                <c:pt idx="94">
                  <c:v>0.28679103268163164</c:v>
                </c:pt>
                <c:pt idx="95">
                  <c:v>0.29291299806633875</c:v>
                </c:pt>
                <c:pt idx="96">
                  <c:v>0.2989564767153444</c:v>
                </c:pt>
                <c:pt idx="97">
                  <c:v>0.30492280457308607</c:v>
                </c:pt>
                <c:pt idx="98">
                  <c:v>0.3108132892800938</c:v>
                </c:pt>
                <c:pt idx="99">
                  <c:v>0.31662921088954454</c:v>
                </c:pt>
                <c:pt idx="100">
                  <c:v>0.32237182256274155</c:v>
                </c:pt>
                <c:pt idx="101">
                  <c:v>1</c:v>
                </c:pt>
              </c:numCache>
            </c:numRef>
          </c:yVal>
          <c:smooth val="0"/>
        </c:ser>
        <c:axId val="8024504"/>
        <c:axId val="5111673"/>
      </c:scatterChart>
      <c:valAx>
        <c:axId val="8024504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Governor's credit, 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11673"/>
        <c:crosses val="autoZero"/>
        <c:crossBetween val="midCat"/>
        <c:dispUnits/>
      </c:valAx>
      <c:valAx>
        <c:axId val="5111673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802450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.05375"/>
          <c:w val="0.902"/>
          <c:h val="0.76875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PoissonPivots!$H$5:$H$255</c:f>
              <c:numCache>
                <c:ptCount val="2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</c:numCache>
            </c:numRef>
          </c:xVal>
          <c:yVal>
            <c:numRef>
              <c:f>PoissonPivots!$K$5:$K$255</c:f>
              <c:numCache>
                <c:ptCount val="251"/>
                <c:pt idx="0">
                  <c:v>3.7200759760208625E-44</c:v>
                </c:pt>
                <c:pt idx="1">
                  <c:v>8.266835502268584E-41</c:v>
                </c:pt>
                <c:pt idx="2">
                  <c:v>4.5926863901492125E-38</c:v>
                </c:pt>
                <c:pt idx="3">
                  <c:v>1.1339966395430154E-35</c:v>
                </c:pt>
                <c:pt idx="4">
                  <c:v>1.5749953326986324E-33</c:v>
                </c:pt>
                <c:pt idx="5">
                  <c:v>1.399995851287673E-31</c:v>
                </c:pt>
                <c:pt idx="6">
                  <c:v>8.641949699306623E-30</c:v>
                </c:pt>
                <c:pt idx="7">
                  <c:v>3.919251564311394E-28</c:v>
                </c:pt>
                <c:pt idx="8">
                  <c:v>1.3608512376081228E-26</c:v>
                </c:pt>
                <c:pt idx="9">
                  <c:v>3.7334739029029427E-25</c:v>
                </c:pt>
                <c:pt idx="10">
                  <c:v>8.29660867311765E-24</c:v>
                </c:pt>
                <c:pt idx="11">
                  <c:v>1.52371141838708E-22</c:v>
                </c:pt>
                <c:pt idx="12">
                  <c:v>2.351406509856605E-21</c:v>
                </c:pt>
                <c:pt idx="13">
                  <c:v>3.091921774959375E-20</c:v>
                </c:pt>
                <c:pt idx="14">
                  <c:v>3.505580243718112E-19</c:v>
                </c:pt>
                <c:pt idx="15">
                  <c:v>3.4623014752771475E-18</c:v>
                </c:pt>
                <c:pt idx="16">
                  <c:v>3.0054700306225235E-17</c:v>
                </c:pt>
                <c:pt idx="17">
                  <c:v>2.3110111731045935E-16</c:v>
                </c:pt>
                <c:pt idx="18">
                  <c:v>1.5850556742829857E-15</c:v>
                </c:pt>
                <c:pt idx="19">
                  <c:v>9.757190977426812E-15</c:v>
                </c:pt>
                <c:pt idx="20">
                  <c:v>5.4206616541260067E-14</c:v>
                </c:pt>
                <c:pt idx="21">
                  <c:v>2.73149995168859E-13</c:v>
                </c:pt>
                <c:pt idx="22">
                  <c:v>1.2541322092234113E-12</c:v>
                </c:pt>
                <c:pt idx="23">
                  <c:v>5.268356266428948E-12</c:v>
                </c:pt>
                <c:pt idx="24">
                  <c:v>2.0325448558753652E-11</c:v>
                </c:pt>
                <c:pt idx="25">
                  <c:v>7.226826154223519E-11</c:v>
                </c:pt>
                <c:pt idx="26">
                  <c:v>2.375682496457435E-10</c:v>
                </c:pt>
                <c:pt idx="27">
                  <c:v>7.241830502842356E-10</c:v>
                </c:pt>
                <c:pt idx="28">
                  <c:v>2.0526730450233434E-09</c:v>
                </c:pt>
                <c:pt idx="29">
                  <c:v>5.423894953159844E-09</c:v>
                </c:pt>
                <c:pt idx="30">
                  <c:v>1.3392333217678625E-08</c:v>
                </c:pt>
                <c:pt idx="31">
                  <c:v>3.096851247006272E-08</c:v>
                </c:pt>
                <c:pt idx="32">
                  <c:v>6.72059732423236E-08</c:v>
                </c:pt>
                <c:pt idx="33">
                  <c:v>1.371410534482677E-07</c:v>
                </c:pt>
                <c:pt idx="34">
                  <c:v>2.6363139840112974E-07</c:v>
                </c:pt>
                <c:pt idx="35">
                  <c:v>4.782428995938861E-07</c:v>
                </c:pt>
                <c:pt idx="36">
                  <c:v>8.200324067110531E-07</c:v>
                </c:pt>
                <c:pt idx="37">
                  <c:v>1.3311133945476067E-06</c:v>
                </c:pt>
                <c:pt idx="38">
                  <c:v>2.0484970676325125E-06</c:v>
                </c:pt>
                <c:pt idx="39">
                  <c:v>2.992909734286672E-06</c:v>
                </c:pt>
                <c:pt idx="40">
                  <c:v>4.156819075398154E-06</c:v>
                </c:pt>
                <c:pt idx="41">
                  <c:v>5.495166997684121E-06</c:v>
                </c:pt>
                <c:pt idx="42">
                  <c:v>6.922608966596272E-06</c:v>
                </c:pt>
                <c:pt idx="43">
                  <c:v>8.319943472863736E-06</c:v>
                </c:pt>
                <c:pt idx="44">
                  <c:v>9.549981029457915E-06</c:v>
                </c:pt>
                <c:pt idx="45">
                  <c:v>1.0480088921215817E-05</c:v>
                </c:pt>
                <c:pt idx="46">
                  <c:v>1.1006184542339652E-05</c:v>
                </c:pt>
                <c:pt idx="47">
                  <c:v>1.107206331908823E-05</c:v>
                </c:pt>
                <c:pt idx="48">
                  <c:v>1.0679073417330467E-05</c:v>
                </c:pt>
                <c:pt idx="49">
                  <c:v>9.883912645037222E-06</c:v>
                </c:pt>
                <c:pt idx="50">
                  <c:v>8.785700128921975E-06</c:v>
                </c:pt>
                <c:pt idx="51">
                  <c:v>7.50625838687853E-06</c:v>
                </c:pt>
                <c:pt idx="52">
                  <c:v>6.168851402760132E-06</c:v>
                </c:pt>
                <c:pt idx="53">
                  <c:v>4.880227366607438E-06</c:v>
                </c:pt>
                <c:pt idx="54">
                  <c:v>3.719118554037065E-06</c:v>
                </c:pt>
                <c:pt idx="55">
                  <c:v>2.732134842267816E-06</c:v>
                </c:pt>
                <c:pt idx="56">
                  <c:v>1.936036594577534E-06</c:v>
                </c:pt>
                <c:pt idx="57">
                  <c:v>1.324193149740114E-06</c:v>
                </c:pt>
                <c:pt idx="58">
                  <c:v>8.747477538248869E-07</c:v>
                </c:pt>
                <c:pt idx="59">
                  <c:v>5.584268593474971E-07</c:v>
                </c:pt>
                <c:pt idx="60">
                  <c:v>3.447079378688254E-07</c:v>
                </c:pt>
                <c:pt idx="61">
                  <c:v>2.0586338073327086E-07</c:v>
                </c:pt>
                <c:pt idx="62">
                  <c:v>1.1900993220792627E-07</c:v>
                </c:pt>
                <c:pt idx="63">
                  <c:v>6.663303502585383E-08</c:v>
                </c:pt>
                <c:pt idx="64">
                  <c:v>3.615073514857521E-08</c:v>
                </c:pt>
                <c:pt idx="65">
                  <c:v>1.901419337203167E-08</c:v>
                </c:pt>
                <c:pt idx="66">
                  <c:v>9.70012925825511E-09</c:v>
                </c:pt>
                <c:pt idx="67">
                  <c:v>4.801925327717189E-09</c:v>
                </c:pt>
                <c:pt idx="68">
                  <c:v>2.3077303574188724E-09</c:v>
                </c:pt>
                <c:pt idx="69">
                  <c:v>1.0771454911054505E-09</c:v>
                </c:pt>
                <c:pt idx="70">
                  <c:v>4.885013565104083E-10</c:v>
                </c:pt>
                <c:pt idx="71">
                  <c:v>2.1534587780661168E-10</c:v>
                </c:pt>
                <c:pt idx="72">
                  <c:v>9.231219041778622E-11</c:v>
                </c:pt>
                <c:pt idx="73">
                  <c:v>3.849468960938522E-11</c:v>
                </c:pt>
                <c:pt idx="74">
                  <c:v>1.562157682387193E-11</c:v>
                </c:pt>
                <c:pt idx="75">
                  <c:v>6.171487140295084E-12</c:v>
                </c:pt>
                <c:pt idx="76">
                  <c:v>2.3743794784145445E-12</c:v>
                </c:pt>
                <c:pt idx="77">
                  <c:v>8.89930652879273E-13</c:v>
                </c:pt>
                <c:pt idx="78">
                  <c:v>3.250532007010275E-13</c:v>
                </c:pt>
                <c:pt idx="79">
                  <c:v>1.1574113859994925E-13</c:v>
                </c:pt>
                <c:pt idx="80">
                  <c:v>4.01878953472046E-14</c:v>
                </c:pt>
                <c:pt idx="81">
                  <c:v>1.3611710730818334E-14</c:v>
                </c:pt>
                <c:pt idx="82">
                  <c:v>4.498549385556988E-15</c:v>
                </c:pt>
                <c:pt idx="83">
                  <c:v>1.4511215578964812E-15</c:v>
                </c:pt>
                <c:pt idx="84">
                  <c:v>4.570173714715549E-16</c:v>
                </c:pt>
                <c:pt idx="85">
                  <c:v>1.4056666558140865E-16</c:v>
                </c:pt>
                <c:pt idx="86">
                  <c:v>4.223504163854595E-17</c:v>
                </c:pt>
                <c:pt idx="87">
                  <c:v>1.2400006352973663E-17</c:v>
                </c:pt>
                <c:pt idx="88">
                  <c:v>3.5583121995447835E-18</c:v>
                </c:pt>
                <c:pt idx="89">
                  <c:v>9.98278051184554E-19</c:v>
                </c:pt>
                <c:pt idx="90">
                  <c:v>2.7387600855543327E-19</c:v>
                </c:pt>
                <c:pt idx="91">
                  <c:v>7.34951518349725E-20</c:v>
                </c:pt>
                <c:pt idx="92">
                  <c:v>1.929614362396883E-20</c:v>
                </c:pt>
                <c:pt idx="93">
                  <c:v>4.957835491314046E-21</c:v>
                </c:pt>
                <c:pt idx="94">
                  <c:v>1.2468777957130038E-21</c:v>
                </c:pt>
                <c:pt idx="95">
                  <c:v>3.0701823224696924E-22</c:v>
                </c:pt>
                <c:pt idx="96">
                  <c:v>7.403024504411874E-23</c:v>
                </c:pt>
                <c:pt idx="97">
                  <c:v>1.7484499484918392E-23</c:v>
                </c:pt>
                <c:pt idx="98">
                  <c:v>4.045652155333054E-24</c:v>
                </c:pt>
                <c:pt idx="99">
                  <c:v>9.172878403185738E-25</c:v>
                </c:pt>
                <c:pt idx="100">
                  <c:v>2.0384174229301635E-25</c:v>
                </c:pt>
                <c:pt idx="101">
                  <c:v>4.44056121497928E-26</c:v>
                </c:pt>
                <c:pt idx="102">
                  <c:v>9.484730691142891E-27</c:v>
                </c:pt>
                <c:pt idx="103">
                  <c:v>1.9867262997125898E-27</c:v>
                </c:pt>
                <c:pt idx="104">
                  <c:v>4.081866986588983E-28</c:v>
                </c:pt>
                <c:pt idx="105">
                  <c:v>8.227497075513192E-29</c:v>
                </c:pt>
                <c:pt idx="106">
                  <c:v>1.627209579429847E-29</c:v>
                </c:pt>
                <c:pt idx="107">
                  <c:v>3.158373034869318E-30</c:v>
                </c:pt>
                <c:pt idx="108">
                  <c:v>6.017324026195164E-31</c:v>
                </c:pt>
                <c:pt idx="109">
                  <c:v>1.1254802768557011E-31</c:v>
                </c:pt>
                <c:pt idx="110">
                  <c:v>2.0669977536376507E-32</c:v>
                </c:pt>
                <c:pt idx="111">
                  <c:v>3.728048325149745E-33</c:v>
                </c:pt>
                <c:pt idx="112">
                  <c:v>6.604394000052695E-34</c:v>
                </c:pt>
                <c:pt idx="113">
                  <c:v>1.1493798348522368E-34</c:v>
                </c:pt>
                <c:pt idx="114">
                  <c:v>1.9653565795496677E-35</c:v>
                </c:pt>
                <c:pt idx="115">
                  <c:v>3.302426514681231E-36</c:v>
                </c:pt>
                <c:pt idx="116">
                  <c:v>5.4538686000152445E-37</c:v>
                </c:pt>
                <c:pt idx="117">
                  <c:v>8.853610928507469E-38</c:v>
                </c:pt>
                <c:pt idx="118">
                  <c:v>1.4130056702268613E-38</c:v>
                </c:pt>
                <c:pt idx="119">
                  <c:v>2.217366429280514E-39</c:v>
                </c:pt>
                <c:pt idx="120">
                  <c:v>3.42186177358104E-40</c:v>
                </c:pt>
                <c:pt idx="121">
                  <c:v>5.193728075011633E-41</c:v>
                </c:pt>
                <c:pt idx="122">
                  <c:v>7.754379161831696E-42</c:v>
                </c:pt>
                <c:pt idx="123">
                  <c:v>1.1390014999642623E-42</c:v>
                </c:pt>
                <c:pt idx="124">
                  <c:v>1.6461462307264749E-43</c:v>
                </c:pt>
                <c:pt idx="125">
                  <c:v>2.3411857503665417E-44</c:v>
                </c:pt>
                <c:pt idx="126">
                  <c:v>3.277043966247503E-45</c:v>
                </c:pt>
                <c:pt idx="127">
                  <c:v>4.5150473835913274E-46</c:v>
                </c:pt>
                <c:pt idx="128">
                  <c:v>6.123924945192229E-47</c:v>
                </c:pt>
                <c:pt idx="129">
                  <c:v>8.177827114011883E-48</c:v>
                </c:pt>
                <c:pt idx="130">
                  <c:v>1.0753224344525815E-48</c:v>
                </c:pt>
                <c:pt idx="131">
                  <c:v>1.3924627993092625E-49</c:v>
                </c:pt>
                <c:pt idx="132">
                  <c:v>1.775919293068644E-50</c:v>
                </c:pt>
                <c:pt idx="133">
                  <c:v>2.2310403742044885E-51</c:v>
                </c:pt>
                <c:pt idx="134">
                  <c:v>2.761120237375917E-52</c:v>
                </c:pt>
                <c:pt idx="135">
                  <c:v>3.366706584210842E-53</c:v>
                </c:pt>
                <c:pt idx="136">
                  <c:v>4.0449665804147946E-54</c:v>
                </c:pt>
                <c:pt idx="137">
                  <c:v>4.789181428495918E-55</c:v>
                </c:pt>
                <c:pt idx="138">
                  <c:v>5.588440136871242E-56</c:v>
                </c:pt>
                <c:pt idx="139">
                  <c:v>6.427594772379209E-57</c:v>
                </c:pt>
                <c:pt idx="140">
                  <c:v>7.2875224176635E-58</c:v>
                </c:pt>
                <c:pt idx="141">
                  <c:v>8.145714129809588E-59</c:v>
                </c:pt>
                <c:pt idx="142">
                  <c:v>8.977180596673484E-60</c:v>
                </c:pt>
                <c:pt idx="143">
                  <c:v>9.755631187260973E-61</c:v>
                </c:pt>
                <c:pt idx="144">
                  <c:v>1.0454851666732008E-61</c:v>
                </c:pt>
                <c:pt idx="145">
                  <c:v>1.1050180120736696E-62</c:v>
                </c:pt>
                <c:pt idx="146">
                  <c:v>1.151996426339807E-63</c:v>
                </c:pt>
                <c:pt idx="147">
                  <c:v>1.1846878886264538E-64</c:v>
                </c:pt>
                <c:pt idx="148">
                  <c:v>1.2018990835022052E-65</c:v>
                </c:pt>
                <c:pt idx="149">
                  <c:v>1.2030479943367967E-66</c:v>
                </c:pt>
                <c:pt idx="150">
                  <c:v>1.1881955499622684E-67</c:v>
                </c:pt>
                <c:pt idx="151">
                  <c:v>1.1580345403586278E-68</c:v>
                </c:pt>
                <c:pt idx="152">
                  <c:v>1.1138374695662393E-69</c:v>
                </c:pt>
                <c:pt idx="153">
                  <c:v>1.0573686944396875E-70</c:v>
                </c:pt>
                <c:pt idx="154">
                  <c:v>9.907691895201432E-72</c:v>
                </c:pt>
                <c:pt idx="155">
                  <c:v>9.164242705701406E-73</c:v>
                </c:pt>
                <c:pt idx="156">
                  <c:v>8.368254351761822E-74</c:v>
                </c:pt>
                <c:pt idx="157">
                  <c:v>7.544371285525959E-75</c:v>
                </c:pt>
                <c:pt idx="158">
                  <c:v>6.715778530440241E-76</c:v>
                </c:pt>
                <c:pt idx="159">
                  <c:v>5.903228626188522E-77</c:v>
                </c:pt>
                <c:pt idx="160">
                  <c:v>5.124330404677536E-78</c:v>
                </c:pt>
                <c:pt idx="161">
                  <c:v>4.393117896409635E-79</c:v>
                </c:pt>
                <c:pt idx="162">
                  <c:v>3.719891866424185E-80</c:v>
                </c:pt>
                <c:pt idx="163">
                  <c:v>3.1113050434083037E-81</c:v>
                </c:pt>
                <c:pt idx="164">
                  <c:v>2.5706466417214483E-82</c:v>
                </c:pt>
                <c:pt idx="165">
                  <c:v>2.0982729449823063E-83</c:v>
                </c:pt>
                <c:pt idx="166">
                  <c:v>1.6921283084001116E-84</c:v>
                </c:pt>
                <c:pt idx="167">
                  <c:v>1.3483040373545214E-85</c:v>
                </c:pt>
                <c:pt idx="168">
                  <c:v>1.0615898505247868E-86</c:v>
                </c:pt>
                <c:pt idx="169">
                  <c:v>8.259824784572488E-88</c:v>
                </c:pt>
                <c:pt idx="170">
                  <c:v>6.351268577141473E-89</c:v>
                </c:pt>
                <c:pt idx="171">
                  <c:v>4.826760429337402E-90</c:v>
                </c:pt>
                <c:pt idx="172">
                  <c:v>3.625653828899556E-91</c:v>
                </c:pt>
                <c:pt idx="173">
                  <c:v>2.692040665797615E-92</c:v>
                </c:pt>
                <c:pt idx="174">
                  <c:v>1.9759256806253684E-93</c:v>
                </c:pt>
                <c:pt idx="175">
                  <c:v>1.4337782716555958E-94</c:v>
                </c:pt>
                <c:pt idx="176">
                  <c:v>1.028594375326845E-95</c:v>
                </c:pt>
                <c:pt idx="177">
                  <c:v>7.296004591605541E-97</c:v>
                </c:pt>
                <c:pt idx="178">
                  <c:v>5.117202227275975E-98</c:v>
                </c:pt>
                <c:pt idx="179">
                  <c:v>3.5490654177640278E-99</c:v>
                </c:pt>
                <c:pt idx="180">
                  <c:v>2.434201246751734E-100</c:v>
                </c:pt>
                <c:pt idx="181">
                  <c:v>1.6511510954771653E-101</c:v>
                </c:pt>
                <c:pt idx="182">
                  <c:v>1.107723903096221E-102</c:v>
                </c:pt>
                <c:pt idx="183">
                  <c:v>7.350499189426848E-104</c:v>
                </c:pt>
                <c:pt idx="184">
                  <c:v>4.8246817826000624E-105</c:v>
                </c:pt>
                <c:pt idx="185">
                  <c:v>3.1326559744177013E-106</c:v>
                </c:pt>
                <c:pt idx="186">
                  <c:v>2.0122146262366242E-107</c:v>
                </c:pt>
                <c:pt idx="187">
                  <c:v>1.2787291767861845E-108</c:v>
                </c:pt>
                <c:pt idx="188">
                  <c:v>8.039894728548515E-110</c:v>
                </c:pt>
                <c:pt idx="189">
                  <c:v>5.001660852189975E-111</c:v>
                </c:pt>
                <c:pt idx="190">
                  <c:v>3.078892491345014E-112</c:v>
                </c:pt>
                <c:pt idx="191">
                  <c:v>1.8754922601080095E-113</c:v>
                </c:pt>
                <c:pt idx="192">
                  <c:v>1.1305774137418074E-114</c:v>
                </c:pt>
                <c:pt idx="193">
                  <c:v>6.744863627908326E-116</c:v>
                </c:pt>
                <c:pt idx="194">
                  <c:v>3.982512976882846E-117</c:v>
                </c:pt>
                <c:pt idx="195">
                  <c:v>2.327423757401035E-118</c:v>
                </c:pt>
                <c:pt idx="196">
                  <c:v>1.3463277785882242E-119</c:v>
                </c:pt>
                <c:pt idx="197">
                  <c:v>7.7091383647448565E-121</c:v>
                </c:pt>
                <c:pt idx="198">
                  <c:v>4.3698139445775684E-122</c:v>
                </c:pt>
                <c:pt idx="199">
                  <c:v>2.452134454841246E-123</c:v>
                </c:pt>
                <c:pt idx="200">
                  <c:v>1.3622969193562477E-124</c:v>
                </c:pt>
                <c:pt idx="201">
                  <c:v>7.493196919527556E-126</c:v>
                </c:pt>
                <c:pt idx="202">
                  <c:v>4.080861854244986E-127</c:v>
                </c:pt>
                <c:pt idx="203">
                  <c:v>2.2006313907938044E-128</c:v>
                </c:pt>
                <c:pt idx="204">
                  <c:v>1.1750989954685185E-129</c:v>
                </c:pt>
                <c:pt idx="205">
                  <c:v>6.213756337992034E-131</c:v>
                </c:pt>
                <c:pt idx="206">
                  <c:v>3.253922946969572E-132</c:v>
                </c:pt>
                <c:pt idx="207">
                  <c:v>1.6875399384243748E-133</c:v>
                </c:pt>
                <c:pt idx="208">
                  <c:v>8.667919637699165E-135</c:v>
                </c:pt>
                <c:pt idx="209">
                  <c:v>4.409707570644325E-136</c:v>
                </c:pt>
                <c:pt idx="210">
                  <c:v>2.22207486553002E-137</c:v>
                </c:pt>
                <c:pt idx="211">
                  <c:v>1.1091269615736992E-138</c:v>
                </c:pt>
                <c:pt idx="212">
                  <c:v>5.483994707357794E-140</c:v>
                </c:pt>
                <c:pt idx="213">
                  <c:v>2.686119355780278E-141</c:v>
                </c:pt>
                <c:pt idx="214">
                  <c:v>1.3034225967237691E-142</c:v>
                </c:pt>
                <c:pt idx="215">
                  <c:v>6.266078224740191E-144</c:v>
                </c:pt>
                <c:pt idx="216">
                  <c:v>2.984528951731915E-145</c:v>
                </c:pt>
                <c:pt idx="217">
                  <c:v>1.4084577203602232E-146</c:v>
                </c:pt>
                <c:pt idx="218">
                  <c:v>6.585948247716817E-148</c:v>
                </c:pt>
                <c:pt idx="219">
                  <c:v>3.051529482388152E-149</c:v>
                </c:pt>
                <c:pt idx="220">
                  <c:v>1.401069551142402E-150</c:v>
                </c:pt>
                <c:pt idx="221">
                  <c:v>6.37474230959145E-152</c:v>
                </c:pt>
                <c:pt idx="222">
                  <c:v>2.8743799247857986E-153</c:v>
                </c:pt>
                <c:pt idx="223">
                  <c:v>1.2844639835847175E-154</c:v>
                </c:pt>
                <c:pt idx="224">
                  <c:v>5.688704575825174E-156</c:v>
                </c:pt>
                <c:pt idx="225">
                  <c:v>2.497099402282655E-157</c:v>
                </c:pt>
                <c:pt idx="226">
                  <c:v>1.0864417305290828E-158</c:v>
                </c:pt>
                <c:pt idx="227">
                  <c:v>4.6853518537741755E-160</c:v>
                </c:pt>
                <c:pt idx="228">
                  <c:v>2.0029033949651923E-161</c:v>
                </c:pt>
                <c:pt idx="229">
                  <c:v>8.487436229774381E-163</c:v>
                </c:pt>
                <c:pt idx="230">
                  <c:v>3.565400642627339E-164</c:v>
                </c:pt>
                <c:pt idx="231">
                  <c:v>1.48481335416725E-165</c:v>
                </c:pt>
                <c:pt idx="232">
                  <c:v>6.13032333435415E-167</c:v>
                </c:pt>
                <c:pt idx="233">
                  <c:v>2.5093372033025514E-168</c:v>
                </c:pt>
                <c:pt idx="234">
                  <c:v>1.0183915728372948E-169</c:v>
                </c:pt>
                <c:pt idx="235">
                  <c:v>4.09794908842531E-171</c:v>
                </c:pt>
                <c:pt idx="236">
                  <c:v>1.6350462384792483E-172</c:v>
                </c:pt>
                <c:pt idx="237">
                  <c:v>6.468756939787854E-174</c:v>
                </c:pt>
                <c:pt idx="238">
                  <c:v>2.5377825403839394E-175</c:v>
                </c:pt>
                <c:pt idx="239">
                  <c:v>9.872930719715612E-177</c:v>
                </c:pt>
                <c:pt idx="240">
                  <c:v>3.809001049272998E-178</c:v>
                </c:pt>
                <c:pt idx="241">
                  <c:v>1.457352107601835E-179</c:v>
                </c:pt>
                <c:pt idx="242">
                  <c:v>5.529950548314986E-181</c:v>
                </c:pt>
                <c:pt idx="243">
                  <c:v>2.0811155135998112E-182</c:v>
                </c:pt>
                <c:pt idx="244">
                  <c:v>7.76790705007544E-184</c:v>
                </c:pt>
                <c:pt idx="245">
                  <c:v>2.8758043593226674E-185</c:v>
                </c:pt>
                <c:pt idx="246">
                  <c:v>1.0560308602766823E-186</c:v>
                </c:pt>
                <c:pt idx="247">
                  <c:v>3.846539436901595E-188</c:v>
                </c:pt>
                <c:pt idx="248">
                  <c:v>1.3898064215883319E-189</c:v>
                </c:pt>
                <c:pt idx="249">
                  <c:v>4.981304679990222E-191</c:v>
                </c:pt>
                <c:pt idx="250">
                  <c:v>1.7711305528854122E-192</c:v>
                </c:pt>
              </c:numCache>
            </c:numRef>
          </c:yVal>
          <c:smooth val="0"/>
        </c:ser>
        <c:axId val="46005058"/>
        <c:axId val="11392339"/>
      </c:scatterChart>
      <c:valAx>
        <c:axId val="46005058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392339"/>
        <c:crosses val="autoZero"/>
        <c:crossBetween val="midCat"/>
        <c:dispUnits/>
      </c:valAx>
      <c:valAx>
        <c:axId val="113923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P(tie at k votes)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00505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25"/>
          <c:y val="0.032"/>
          <c:w val="0.83925"/>
          <c:h val="0.7925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PoissonPivots!$H$5:$H$255</c:f>
              <c:numCache>
                <c:ptCount val="2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</c:numCache>
            </c:numRef>
          </c:xVal>
          <c:yVal>
            <c:numRef>
              <c:f>PoissonPivots!$I$5:$I$255</c:f>
              <c:numCache>
                <c:ptCount val="251"/>
                <c:pt idx="0">
                  <c:v>1.1143831578403522E-29</c:v>
                </c:pt>
                <c:pt idx="1">
                  <c:v>7.429221052269014E-28</c:v>
                </c:pt>
                <c:pt idx="2">
                  <c:v>2.4764070174230042E-26</c:v>
                </c:pt>
                <c:pt idx="3">
                  <c:v>5.503126705384453E-25</c:v>
                </c:pt>
                <c:pt idx="4">
                  <c:v>9.17187784230742E-24</c:v>
                </c:pt>
                <c:pt idx="5">
                  <c:v>1.2229170456409892E-22</c:v>
                </c:pt>
                <c:pt idx="6">
                  <c:v>1.3587967173788767E-21</c:v>
                </c:pt>
                <c:pt idx="7">
                  <c:v>1.2940921117894063E-20</c:v>
                </c:pt>
                <c:pt idx="8">
                  <c:v>1.0784100931578384E-19</c:v>
                </c:pt>
                <c:pt idx="9">
                  <c:v>7.988222912280283E-19</c:v>
                </c:pt>
                <c:pt idx="10">
                  <c:v>5.3254819415201875E-18</c:v>
                </c:pt>
                <c:pt idx="11">
                  <c:v>3.227564813042538E-17</c:v>
                </c:pt>
                <c:pt idx="12">
                  <c:v>1.7930915628014097E-16</c:v>
                </c:pt>
                <c:pt idx="13">
                  <c:v>9.195341347699536E-16</c:v>
                </c:pt>
                <c:pt idx="14">
                  <c:v>4.378733975095016E-15</c:v>
                </c:pt>
                <c:pt idx="15">
                  <c:v>1.946103988931118E-14</c:v>
                </c:pt>
                <c:pt idx="16">
                  <c:v>8.108766620546324E-14</c:v>
                </c:pt>
                <c:pt idx="17">
                  <c:v>3.179908478645617E-13</c:v>
                </c:pt>
                <c:pt idx="18">
                  <c:v>1.1777438809798579E-12</c:v>
                </c:pt>
                <c:pt idx="19">
                  <c:v>4.132434670104764E-12</c:v>
                </c:pt>
                <c:pt idx="20">
                  <c:v>1.3774782233682545E-11</c:v>
                </c:pt>
                <c:pt idx="21">
                  <c:v>4.372946740851601E-11</c:v>
                </c:pt>
                <c:pt idx="22">
                  <c:v>1.3251353760156365E-10</c:v>
                </c:pt>
                <c:pt idx="23">
                  <c:v>3.840972104393148E-10</c:v>
                </c:pt>
                <c:pt idx="24">
                  <c:v>1.0669366956647632E-09</c:v>
                </c:pt>
                <c:pt idx="25">
                  <c:v>2.8451645217727014E-09</c:v>
                </c:pt>
                <c:pt idx="26">
                  <c:v>7.295293645571028E-09</c:v>
                </c:pt>
                <c:pt idx="27">
                  <c:v>1.8013070729805003E-08</c:v>
                </c:pt>
                <c:pt idx="28">
                  <c:v>4.288826364239286E-08</c:v>
                </c:pt>
                <c:pt idx="29">
                  <c:v>9.859370952274218E-08</c:v>
                </c:pt>
                <c:pt idx="30">
                  <c:v>2.1909713227276035E-07</c:v>
                </c:pt>
                <c:pt idx="31">
                  <c:v>4.711766285435706E-07</c:v>
                </c:pt>
                <c:pt idx="32">
                  <c:v>9.816179761324385E-07</c:v>
                </c:pt>
                <c:pt idx="33">
                  <c:v>1.9830666184493704E-06</c:v>
                </c:pt>
                <c:pt idx="34">
                  <c:v>3.888365918528177E-06</c:v>
                </c:pt>
                <c:pt idx="35">
                  <c:v>7.406411273387003E-06</c:v>
                </c:pt>
                <c:pt idx="36">
                  <c:v>1.3715576432198152E-05</c:v>
                </c:pt>
                <c:pt idx="37">
                  <c:v>2.4712750328284954E-05</c:v>
                </c:pt>
                <c:pt idx="38">
                  <c:v>4.335570233032447E-05</c:v>
                </c:pt>
                <c:pt idx="39">
                  <c:v>7.411231167576832E-05</c:v>
                </c:pt>
                <c:pt idx="40">
                  <c:v>0.00012352051945961384</c:v>
                </c:pt>
                <c:pt idx="41">
                  <c:v>0.00020084637310506314</c:v>
                </c:pt>
                <c:pt idx="42">
                  <c:v>0.0003188037668334335</c:v>
                </c:pt>
                <c:pt idx="43">
                  <c:v>0.0004942694059433077</c:v>
                </c:pt>
                <c:pt idx="44">
                  <c:v>0.0007488930393080418</c:v>
                </c:pt>
                <c:pt idx="45">
                  <c:v>0.001109471169345247</c:v>
                </c:pt>
                <c:pt idx="46">
                  <c:v>0.0016079292309351403</c:v>
                </c:pt>
                <c:pt idx="47">
                  <c:v>0.002280750682177504</c:v>
                </c:pt>
                <c:pt idx="48">
                  <c:v>0.003167709280802088</c:v>
                </c:pt>
                <c:pt idx="49">
                  <c:v>0.004309808545308963</c:v>
                </c:pt>
                <c:pt idx="50">
                  <c:v>0.005746411393745283</c:v>
                </c:pt>
                <c:pt idx="51">
                  <c:v>0.0075116488807127875</c:v>
                </c:pt>
                <c:pt idx="52">
                  <c:v>0.009630319077836905</c:v>
                </c:pt>
                <c:pt idx="53">
                  <c:v>0.012113608902939502</c:v>
                </c:pt>
                <c:pt idx="54">
                  <c:v>0.014955072719678397</c:v>
                </c:pt>
                <c:pt idx="55">
                  <c:v>0.018127360872337447</c:v>
                </c:pt>
                <c:pt idx="56">
                  <c:v>0.021580191514687434</c:v>
                </c:pt>
                <c:pt idx="57">
                  <c:v>0.025239990075657814</c:v>
                </c:pt>
                <c:pt idx="58">
                  <c:v>0.029011482845583688</c:v>
                </c:pt>
                <c:pt idx="59">
                  <c:v>0.03278133654868213</c:v>
                </c:pt>
                <c:pt idx="60">
                  <c:v>0.03642370727631347</c:v>
                </c:pt>
                <c:pt idx="61">
                  <c:v>0.039807330356626744</c:v>
                </c:pt>
                <c:pt idx="62">
                  <c:v>0.042803581028630903</c:v>
                </c:pt>
                <c:pt idx="63">
                  <c:v>0.04529479473929195</c:v>
                </c:pt>
                <c:pt idx="64">
                  <c:v>0.04718207785342911</c:v>
                </c:pt>
                <c:pt idx="65">
                  <c:v>0.04839187472146575</c:v>
                </c:pt>
                <c:pt idx="66">
                  <c:v>0.04888068153683408</c:v>
                </c:pt>
                <c:pt idx="67">
                  <c:v>0.048637494066501565</c:v>
                </c:pt>
                <c:pt idx="68">
                  <c:v>0.04768381771225643</c:v>
                </c:pt>
                <c:pt idx="69">
                  <c:v>0.046071321461117316</c:v>
                </c:pt>
                <c:pt idx="70">
                  <c:v>0.04387744901058791</c:v>
                </c:pt>
                <c:pt idx="71">
                  <c:v>0.04119948263904968</c:v>
                </c:pt>
                <c:pt idx="72">
                  <c:v>0.03814766911023118</c:v>
                </c:pt>
                <c:pt idx="73">
                  <c:v>0.03483805398194628</c:v>
                </c:pt>
                <c:pt idx="74">
                  <c:v>0.031385634217969624</c:v>
                </c:pt>
                <c:pt idx="75">
                  <c:v>0.02789834152708411</c:v>
                </c:pt>
                <c:pt idx="76">
                  <c:v>0.0244722294097229</c:v>
                </c:pt>
                <c:pt idx="77">
                  <c:v>0.021188077411015496</c:v>
                </c:pt>
                <c:pt idx="78">
                  <c:v>0.018109467872662814</c:v>
                </c:pt>
                <c:pt idx="79">
                  <c:v>0.015282251369335705</c:v>
                </c:pt>
                <c:pt idx="80">
                  <c:v>0.012735209474446419</c:v>
                </c:pt>
                <c:pt idx="81">
                  <c:v>0.010481653888433265</c:v>
                </c:pt>
                <c:pt idx="82">
                  <c:v>0.008521669827994523</c:v>
                </c:pt>
                <c:pt idx="83">
                  <c:v>0.00684471472128074</c:v>
                </c:pt>
                <c:pt idx="84">
                  <c:v>0.005432313270857729</c:v>
                </c:pt>
                <c:pt idx="85">
                  <c:v>0.004260637859496257</c:v>
                </c:pt>
                <c:pt idx="86">
                  <c:v>0.003302820046121129</c:v>
                </c:pt>
                <c:pt idx="87">
                  <c:v>0.002530896587065999</c:v>
                </c:pt>
                <c:pt idx="88">
                  <c:v>0.0019173458992924233</c:v>
                </c:pt>
                <c:pt idx="89">
                  <c:v>0.0014362141567733505</c:v>
                </c:pt>
                <c:pt idx="90">
                  <c:v>0.00106386233835063</c:v>
                </c:pt>
                <c:pt idx="91">
                  <c:v>0.0007793863284619999</c:v>
                </c:pt>
                <c:pt idx="92">
                  <c:v>0.0005647727017840578</c:v>
                </c:pt>
                <c:pt idx="93">
                  <c:v>0.0004048549833577475</c:v>
                </c:pt>
                <c:pt idx="94">
                  <c:v>0.00028713119387074285</c:v>
                </c:pt>
                <c:pt idx="95">
                  <c:v>0.00020149557464613533</c:v>
                </c:pt>
                <c:pt idx="96">
                  <c:v>0.00013992748239314952</c:v>
                </c:pt>
                <c:pt idx="97">
                  <c:v>9.617009099185532E-05</c:v>
                </c:pt>
                <c:pt idx="98">
                  <c:v>6.542183060670429E-05</c:v>
                </c:pt>
                <c:pt idx="99">
                  <c:v>4.405510478565945E-05</c:v>
                </c:pt>
                <c:pt idx="100">
                  <c:v>2.9370069857106297E-05</c:v>
                </c:pt>
                <c:pt idx="101">
                  <c:v>1.938618472416257E-05</c:v>
                </c:pt>
                <c:pt idx="102">
                  <c:v>1.2670708970040892E-05</c:v>
                </c:pt>
                <c:pt idx="103">
                  <c:v>8.201106129476304E-06</c:v>
                </c:pt>
                <c:pt idx="104">
                  <c:v>5.2571193137668605E-06</c:v>
                </c:pt>
                <c:pt idx="105">
                  <c:v>3.337853532550387E-06</c:v>
                </c:pt>
                <c:pt idx="106">
                  <c:v>2.0992789512895514E-06</c:v>
                </c:pt>
                <c:pt idx="107">
                  <c:v>1.307961963420281E-06</c:v>
                </c:pt>
                <c:pt idx="108">
                  <c:v>8.073839280372104E-07</c:v>
                </c:pt>
                <c:pt idx="109">
                  <c:v>4.938128000227586E-07</c:v>
                </c:pt>
                <c:pt idx="110">
                  <c:v>2.9928048486227787E-07</c:v>
                </c:pt>
                <c:pt idx="111">
                  <c:v>1.7974803895632302E-07</c:v>
                </c:pt>
                <c:pt idx="112">
                  <c:v>1.0699288033114464E-07</c:v>
                </c:pt>
                <c:pt idx="113">
                  <c:v>6.312264326321217E-08</c:v>
                </c:pt>
                <c:pt idx="114">
                  <c:v>3.6913826469714716E-08</c:v>
                </c:pt>
                <c:pt idx="115">
                  <c:v>2.139931969258824E-08</c:v>
                </c:pt>
                <c:pt idx="116">
                  <c:v>1.2298459593441514E-08</c:v>
                </c:pt>
                <c:pt idx="117">
                  <c:v>7.0076692840122575E-09</c:v>
                </c:pt>
                <c:pt idx="118">
                  <c:v>3.959135188707489E-09</c:v>
                </c:pt>
                <c:pt idx="119">
                  <c:v>2.2180029068389292E-09</c:v>
                </c:pt>
                <c:pt idx="120">
                  <c:v>1.2322238371327383E-09</c:v>
                </c:pt>
                <c:pt idx="121">
                  <c:v>6.789112050318116E-10</c:v>
                </c:pt>
                <c:pt idx="122">
                  <c:v>3.7098972952558004E-10</c:v>
                </c:pt>
                <c:pt idx="123">
                  <c:v>2.0107844418730623E-10</c:v>
                </c:pt>
                <c:pt idx="124">
                  <c:v>1.0810669042328292E-10</c:v>
                </c:pt>
                <c:pt idx="125">
                  <c:v>5.7656901559084215E-11</c:v>
                </c:pt>
                <c:pt idx="126">
                  <c:v>3.050629712120857E-11</c:v>
                </c:pt>
                <c:pt idx="127">
                  <c:v>1.6013804263101612E-11</c:v>
                </c:pt>
                <c:pt idx="128">
                  <c:v>8.340523053698754E-12</c:v>
                </c:pt>
                <c:pt idx="129">
                  <c:v>4.310347831368865E-12</c:v>
                </c:pt>
                <c:pt idx="130">
                  <c:v>2.2104347853173663E-12</c:v>
                </c:pt>
                <c:pt idx="131">
                  <c:v>1.1249031986347917E-12</c:v>
                </c:pt>
                <c:pt idx="132">
                  <c:v>5.681329286034301E-13</c:v>
                </c:pt>
                <c:pt idx="133">
                  <c:v>2.8477841032753383E-13</c:v>
                </c:pt>
                <c:pt idx="134">
                  <c:v>1.4168080115797702E-13</c:v>
                </c:pt>
                <c:pt idx="135">
                  <c:v>6.996582773233432E-14</c:v>
                </c:pt>
                <c:pt idx="136">
                  <c:v>3.429697437859525E-14</c:v>
                </c:pt>
                <c:pt idx="137">
                  <c:v>1.6689525245058513E-14</c:v>
                </c:pt>
                <c:pt idx="138">
                  <c:v>8.06257258215387E-15</c:v>
                </c:pt>
                <c:pt idx="139">
                  <c:v>3.866941286404733E-15</c:v>
                </c:pt>
                <c:pt idx="140">
                  <c:v>1.8414006125736818E-15</c:v>
                </c:pt>
                <c:pt idx="141">
                  <c:v>8.706385875052868E-16</c:v>
                </c:pt>
                <c:pt idx="142">
                  <c:v>4.087505105658623E-16</c:v>
                </c:pt>
                <c:pt idx="143">
                  <c:v>1.9055967858548357E-16</c:v>
                </c:pt>
                <c:pt idx="144">
                  <c:v>8.822207341920533E-17</c:v>
                </c:pt>
                <c:pt idx="145">
                  <c:v>4.0561872836416237E-17</c:v>
                </c:pt>
                <c:pt idx="146">
                  <c:v>1.852140312165125E-17</c:v>
                </c:pt>
                <c:pt idx="147">
                  <c:v>8.399729306871314E-18</c:v>
                </c:pt>
                <c:pt idx="148">
                  <c:v>3.783661849942033E-18</c:v>
                </c:pt>
                <c:pt idx="149">
                  <c:v>1.6929135793924083E-18</c:v>
                </c:pt>
                <c:pt idx="150">
                  <c:v>7.524060352855147E-19</c:v>
                </c:pt>
                <c:pt idx="151">
                  <c:v>3.321880950487923E-19</c:v>
                </c:pt>
                <c:pt idx="152">
                  <c:v>1.4569653291613695E-19</c:v>
                </c:pt>
                <c:pt idx="153">
                  <c:v>6.348432806803352E-20</c:v>
                </c:pt>
                <c:pt idx="154">
                  <c:v>2.748239310304481E-20</c:v>
                </c:pt>
                <c:pt idx="155">
                  <c:v>1.1820384130341852E-20</c:v>
                </c:pt>
                <c:pt idx="156">
                  <c:v>5.0514462095478E-21</c:v>
                </c:pt>
                <c:pt idx="157">
                  <c:v>2.144987774754904E-21</c:v>
                </c:pt>
                <c:pt idx="158">
                  <c:v>9.050581328079763E-22</c:v>
                </c:pt>
                <c:pt idx="159">
                  <c:v>3.794793009677049E-22</c:v>
                </c:pt>
                <c:pt idx="160">
                  <c:v>1.5811637540321034E-22</c:v>
                </c:pt>
                <c:pt idx="161">
                  <c:v>6.547261921457984E-23</c:v>
                </c:pt>
                <c:pt idx="162">
                  <c:v>2.6943464697357955E-23</c:v>
                </c:pt>
                <c:pt idx="163">
                  <c:v>1.1019821962109591E-23</c:v>
                </c:pt>
                <c:pt idx="164">
                  <c:v>4.4796024236217844E-24</c:v>
                </c:pt>
                <c:pt idx="165">
                  <c:v>1.8099403731805185E-24</c:v>
                </c:pt>
                <c:pt idx="166">
                  <c:v>7.268836840082403E-25</c:v>
                </c:pt>
                <c:pt idx="167">
                  <c:v>2.9017312734859887E-25</c:v>
                </c:pt>
                <c:pt idx="168">
                  <c:v>1.1514806640817413E-25</c:v>
                </c:pt>
                <c:pt idx="169">
                  <c:v>4.542330035825409E-26</c:v>
                </c:pt>
                <c:pt idx="170">
                  <c:v>1.781305896402121E-26</c:v>
                </c:pt>
                <c:pt idx="171">
                  <c:v>6.94466236414082E-27</c:v>
                </c:pt>
                <c:pt idx="172">
                  <c:v>2.6917295985041937E-27</c:v>
                </c:pt>
                <c:pt idx="173">
                  <c:v>1.0372753751461247E-27</c:v>
                </c:pt>
                <c:pt idx="174">
                  <c:v>3.974235153816569E-28</c:v>
                </c:pt>
                <c:pt idx="175">
                  <c:v>1.5139943443110737E-28</c:v>
                </c:pt>
                <c:pt idx="176">
                  <c:v>5.734827061784369E-29</c:v>
                </c:pt>
                <c:pt idx="177">
                  <c:v>2.160010192762474E-29</c:v>
                </c:pt>
                <c:pt idx="178">
                  <c:v>8.08992581558979E-30</c:v>
                </c:pt>
                <c:pt idx="179">
                  <c:v>3.0130077525474075E-30</c:v>
                </c:pt>
                <c:pt idx="180">
                  <c:v>1.1159287972397804E-30</c:v>
                </c:pt>
                <c:pt idx="181">
                  <c:v>4.110234980625341E-31</c:v>
                </c:pt>
                <c:pt idx="182">
                  <c:v>1.5055805789836411E-31</c:v>
                </c:pt>
                <c:pt idx="183">
                  <c:v>5.48481085239942E-32</c:v>
                </c:pt>
                <c:pt idx="184">
                  <c:v>1.9872503088403694E-32</c:v>
                </c:pt>
                <c:pt idx="185">
                  <c:v>7.161262374199528E-33</c:v>
                </c:pt>
                <c:pt idx="186">
                  <c:v>2.566760707598397E-33</c:v>
                </c:pt>
                <c:pt idx="187">
                  <c:v>9.150662059174318E-34</c:v>
                </c:pt>
                <c:pt idx="188">
                  <c:v>3.2449156238206794E-34</c:v>
                </c:pt>
                <c:pt idx="189">
                  <c:v>1.1445910489667298E-34</c:v>
                </c:pt>
                <c:pt idx="190">
                  <c:v>4.016108943742911E-35</c:v>
                </c:pt>
                <c:pt idx="191">
                  <c:v>1.401783226437316E-35</c:v>
                </c:pt>
                <c:pt idx="192">
                  <c:v>4.867302869574014E-36</c:v>
                </c:pt>
                <c:pt idx="193">
                  <c:v>1.681279056847673E-36</c:v>
                </c:pt>
                <c:pt idx="194">
                  <c:v>5.777591260644923E-37</c:v>
                </c:pt>
                <c:pt idx="195">
                  <c:v>1.9752448754341617E-37</c:v>
                </c:pt>
                <c:pt idx="196">
                  <c:v>6.718519984469937E-38</c:v>
                </c:pt>
                <c:pt idx="197">
                  <c:v>2.273610823847694E-38</c:v>
                </c:pt>
                <c:pt idx="198">
                  <c:v>7.655255299150482E-39</c:v>
                </c:pt>
                <c:pt idx="199">
                  <c:v>2.5645746395814006E-39</c:v>
                </c:pt>
                <c:pt idx="200">
                  <c:v>8.548582131938001E-40</c:v>
                </c:pt>
                <c:pt idx="201">
                  <c:v>2.8353506241917082E-40</c:v>
                </c:pt>
                <c:pt idx="202">
                  <c:v>9.357592819114548E-41</c:v>
                </c:pt>
                <c:pt idx="203">
                  <c:v>3.0731010900211974E-41</c:v>
                </c:pt>
                <c:pt idx="204">
                  <c:v>1.0042814019677113E-41</c:v>
                </c:pt>
                <c:pt idx="205">
                  <c:v>3.265955778756785E-42</c:v>
                </c:pt>
                <c:pt idx="206">
                  <c:v>1.0569436177206423E-42</c:v>
                </c:pt>
                <c:pt idx="207">
                  <c:v>3.404005210050377E-43</c:v>
                </c:pt>
                <c:pt idx="208">
                  <c:v>1.0910273109135823E-43</c:v>
                </c:pt>
                <c:pt idx="209">
                  <c:v>3.480150912005047E-44</c:v>
                </c:pt>
                <c:pt idx="210">
                  <c:v>1.1048098133349353E-44</c:v>
                </c:pt>
                <c:pt idx="211">
                  <c:v>3.490710310694898E-45</c:v>
                </c:pt>
                <c:pt idx="212">
                  <c:v>1.0977076448726094E-45</c:v>
                </c:pt>
                <c:pt idx="213">
                  <c:v>3.4357046787875092E-46</c:v>
                </c:pt>
                <c:pt idx="214">
                  <c:v>1.070312984045953E-46</c:v>
                </c:pt>
                <c:pt idx="215">
                  <c:v>3.318799950530086E-47</c:v>
                </c:pt>
                <c:pt idx="216">
                  <c:v>1.0243209723858288E-47</c:v>
                </c:pt>
                <c:pt idx="217">
                  <c:v>3.14691542975677E-48</c:v>
                </c:pt>
                <c:pt idx="218">
                  <c:v>9.62359458641214E-49</c:v>
                </c:pt>
                <c:pt idx="219">
                  <c:v>2.929556951723634E-49</c:v>
                </c:pt>
                <c:pt idx="220">
                  <c:v>8.877445308253434E-50</c:v>
                </c:pt>
                <c:pt idx="221">
                  <c:v>2.6779623855968123E-50</c:v>
                </c:pt>
                <c:pt idx="222">
                  <c:v>8.041929085876312E-51</c:v>
                </c:pt>
                <c:pt idx="223">
                  <c:v>2.4041641512335758E-51</c:v>
                </c:pt>
                <c:pt idx="224">
                  <c:v>7.155250450099927E-52</c:v>
                </c:pt>
                <c:pt idx="225">
                  <c:v>2.120074207437015E-52</c:v>
                </c:pt>
                <c:pt idx="226">
                  <c:v>6.253906216628362E-53</c:v>
                </c:pt>
                <c:pt idx="227">
                  <c:v>1.83668317668968E-53</c:v>
                </c:pt>
                <c:pt idx="228">
                  <c:v>5.370418645291461E-54</c:v>
                </c:pt>
                <c:pt idx="229">
                  <c:v>1.5634406536510805E-54</c:v>
                </c:pt>
                <c:pt idx="230">
                  <c:v>4.5317120395683486E-55</c:v>
                </c:pt>
                <c:pt idx="231">
                  <c:v>1.3078534024728277E-55</c:v>
                </c:pt>
                <c:pt idx="232">
                  <c:v>3.7581994323931826E-56</c:v>
                </c:pt>
                <c:pt idx="233">
                  <c:v>1.0753074198549877E-56</c:v>
                </c:pt>
                <c:pt idx="234">
                  <c:v>3.0635539027207624E-57</c:v>
                </c:pt>
                <c:pt idx="235">
                  <c:v>8.690933057363864E-58</c:v>
                </c:pt>
                <c:pt idx="236">
                  <c:v>2.4550658354135205E-58</c:v>
                </c:pt>
                <c:pt idx="237">
                  <c:v>6.905951717056315E-59</c:v>
                </c:pt>
                <c:pt idx="238">
                  <c:v>1.9344402568785194E-59</c:v>
                </c:pt>
                <c:pt idx="239">
                  <c:v>5.395928192129761E-60</c:v>
                </c:pt>
                <c:pt idx="240">
                  <c:v>1.498868942258267E-60</c:v>
                </c:pt>
                <c:pt idx="241">
                  <c:v>4.1462488029274325E-61</c:v>
                </c:pt>
                <c:pt idx="242">
                  <c:v>1.1422173010819371E-61</c:v>
                </c:pt>
                <c:pt idx="243">
                  <c:v>3.1336551470011987E-62</c:v>
                </c:pt>
                <c:pt idx="244">
                  <c:v>8.561899308746444E-63</c:v>
                </c:pt>
                <c:pt idx="245">
                  <c:v>2.3297685193867873E-63</c:v>
                </c:pt>
                <c:pt idx="246">
                  <c:v>6.313735824896441E-64</c:v>
                </c:pt>
                <c:pt idx="247">
                  <c:v>1.704112233440335E-64</c:v>
                </c:pt>
                <c:pt idx="248">
                  <c:v>4.580946864086921E-65</c:v>
                </c:pt>
                <c:pt idx="249">
                  <c:v>1.2264917976136333E-65</c:v>
                </c:pt>
                <c:pt idx="250">
                  <c:v>3.270644793636355E-66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PoissonPivots!$H$5:$H$255</c:f>
              <c:numCache>
                <c:ptCount val="2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</c:numCache>
            </c:numRef>
          </c:xVal>
          <c:yVal>
            <c:numRef>
              <c:f>PoissonPivots!$J$5:$J$255</c:f>
              <c:numCache>
                <c:ptCount val="251"/>
                <c:pt idx="0">
                  <c:v>3.3382377953649984E-15</c:v>
                </c:pt>
                <c:pt idx="1">
                  <c:v>1.1127459317883329E-13</c:v>
                </c:pt>
                <c:pt idx="2">
                  <c:v>1.854576552980555E-12</c:v>
                </c:pt>
                <c:pt idx="3">
                  <c:v>2.060640614422839E-11</c:v>
                </c:pt>
                <c:pt idx="4">
                  <c:v>1.7172005120190327E-10</c:v>
                </c:pt>
                <c:pt idx="5">
                  <c:v>1.1448003413460219E-09</c:v>
                </c:pt>
                <c:pt idx="6">
                  <c:v>6.360001896366789E-09</c:v>
                </c:pt>
                <c:pt idx="7">
                  <c:v>3.028572331603233E-08</c:v>
                </c:pt>
                <c:pt idx="8">
                  <c:v>1.261905138168014E-07</c:v>
                </c:pt>
                <c:pt idx="9">
                  <c:v>4.6737227339556076E-07</c:v>
                </c:pt>
                <c:pt idx="10">
                  <c:v>1.5579075779852027E-06</c:v>
                </c:pt>
                <c:pt idx="11">
                  <c:v>4.720932054500615E-06</c:v>
                </c:pt>
                <c:pt idx="12">
                  <c:v>1.3113700151390596E-05</c:v>
                </c:pt>
                <c:pt idx="13">
                  <c:v>3.362487218305281E-05</c:v>
                </c:pt>
                <c:pt idx="14">
                  <c:v>8.005921948345909E-05</c:v>
                </c:pt>
                <c:pt idx="15">
                  <c:v>0.0001779093766299091</c:v>
                </c:pt>
                <c:pt idx="16">
                  <c:v>0.000370644534645644</c:v>
                </c:pt>
                <c:pt idx="17">
                  <c:v>0.0007267539895012628</c:v>
                </c:pt>
                <c:pt idx="18">
                  <c:v>0.001345840721298635</c:v>
                </c:pt>
                <c:pt idx="19">
                  <c:v>0.0023611240724537457</c:v>
                </c:pt>
                <c:pt idx="20">
                  <c:v>0.00393520678742291</c:v>
                </c:pt>
                <c:pt idx="21">
                  <c:v>0.006246359980036366</c:v>
                </c:pt>
                <c:pt idx="22">
                  <c:v>0.009464181787933889</c:v>
                </c:pt>
                <c:pt idx="23">
                  <c:v>0.01371620548975926</c:v>
                </c:pt>
                <c:pt idx="24">
                  <c:v>0.019050285402443416</c:v>
                </c:pt>
                <c:pt idx="25">
                  <c:v>0.02540038053659122</c:v>
                </c:pt>
                <c:pt idx="26">
                  <c:v>0.03256459043152721</c:v>
                </c:pt>
                <c:pt idx="27">
                  <c:v>0.04020319806361384</c:v>
                </c:pt>
                <c:pt idx="28">
                  <c:v>0.04786095007573076</c:v>
                </c:pt>
                <c:pt idx="29">
                  <c:v>0.05501258629394341</c:v>
                </c:pt>
                <c:pt idx="30">
                  <c:v>0.06112509588215934</c:v>
                </c:pt>
                <c:pt idx="31">
                  <c:v>0.06572590955070898</c:v>
                </c:pt>
                <c:pt idx="32">
                  <c:v>0.06846448911532185</c:v>
                </c:pt>
                <c:pt idx="33">
                  <c:v>0.06915604961143622</c:v>
                </c:pt>
                <c:pt idx="34">
                  <c:v>0.06780004863866296</c:v>
                </c:pt>
                <c:pt idx="35">
                  <c:v>0.06457147489396473</c:v>
                </c:pt>
                <c:pt idx="36">
                  <c:v>0.05978840267959698</c:v>
                </c:pt>
                <c:pt idx="37">
                  <c:v>0.05386342583747476</c:v>
                </c:pt>
                <c:pt idx="38">
                  <c:v>0.04724861915567962</c:v>
                </c:pt>
                <c:pt idx="39">
                  <c:v>0.040383435175794555</c:v>
                </c:pt>
                <c:pt idx="40">
                  <c:v>0.03365286264649546</c:v>
                </c:pt>
                <c:pt idx="41">
                  <c:v>0.02736005093211013</c:v>
                </c:pt>
                <c:pt idx="42">
                  <c:v>0.021714326136595342</c:v>
                </c:pt>
                <c:pt idx="43">
                  <c:v>0.016832810958601042</c:v>
                </c:pt>
                <c:pt idx="44">
                  <c:v>0.012752129514091699</c:v>
                </c:pt>
                <c:pt idx="45">
                  <c:v>0.009446021862290148</c:v>
                </c:pt>
                <c:pt idx="46">
                  <c:v>0.0068449433784711225</c:v>
                </c:pt>
                <c:pt idx="47">
                  <c:v>0.004854569771965336</c:v>
                </c:pt>
                <c:pt idx="48">
                  <c:v>0.003371229008309261</c:v>
                </c:pt>
                <c:pt idx="49">
                  <c:v>0.0022933530668770487</c:v>
                </c:pt>
                <c:pt idx="50">
                  <c:v>0.0015289020445846994</c:v>
                </c:pt>
                <c:pt idx="51">
                  <c:v>0.000999282382081503</c:v>
                </c:pt>
                <c:pt idx="52">
                  <c:v>0.000640565629539425</c:v>
                </c:pt>
                <c:pt idx="53">
                  <c:v>0.0004028714651191352</c:v>
                </c:pt>
                <c:pt idx="54">
                  <c:v>0.0002486860895797131</c:v>
                </c:pt>
                <c:pt idx="55">
                  <c:v>0.0001507188421695231</c:v>
                </c:pt>
                <c:pt idx="56">
                  <c:v>8.971359652947804E-05</c:v>
                </c:pt>
                <c:pt idx="57">
                  <c:v>5.2464091537706456E-05</c:v>
                </c:pt>
                <c:pt idx="58">
                  <c:v>3.0151776745808308E-05</c:v>
                </c:pt>
                <c:pt idx="59">
                  <c:v>1.7034902116275883E-05</c:v>
                </c:pt>
                <c:pt idx="60">
                  <c:v>9.463834509042158E-06</c:v>
                </c:pt>
                <c:pt idx="61">
                  <c:v>5.171494267236152E-06</c:v>
                </c:pt>
                <c:pt idx="62">
                  <c:v>2.7803732619549208E-06</c:v>
                </c:pt>
                <c:pt idx="63">
                  <c:v>1.4710969639973126E-06</c:v>
                </c:pt>
                <c:pt idx="64">
                  <c:v>7.66196335415267E-07</c:v>
                </c:pt>
                <c:pt idx="65">
                  <c:v>3.9292119764885493E-07</c:v>
                </c:pt>
                <c:pt idx="66">
                  <c:v>1.9844504931760352E-07</c:v>
                </c:pt>
                <c:pt idx="67">
                  <c:v>9.872888025751419E-08</c:v>
                </c:pt>
                <c:pt idx="68">
                  <c:v>4.8396509930154016E-08</c:v>
                </c:pt>
                <c:pt idx="69">
                  <c:v>2.3379956487997112E-08</c:v>
                </c:pt>
                <c:pt idx="70">
                  <c:v>1.113331261333196E-08</c:v>
                </c:pt>
                <c:pt idx="71">
                  <c:v>5.226907330202798E-09</c:v>
                </c:pt>
                <c:pt idx="72">
                  <c:v>2.419864504723518E-09</c:v>
                </c:pt>
                <c:pt idx="73">
                  <c:v>1.104960961060967E-09</c:v>
                </c:pt>
                <c:pt idx="74">
                  <c:v>4.977301626400752E-10</c:v>
                </c:pt>
                <c:pt idx="75">
                  <c:v>2.2121340561781122E-10</c:v>
                </c:pt>
                <c:pt idx="76">
                  <c:v>9.702342351658388E-11</c:v>
                </c:pt>
                <c:pt idx="77">
                  <c:v>4.200148204181121E-11</c:v>
                </c:pt>
                <c:pt idx="78">
                  <c:v>1.794935129991932E-11</c:v>
                </c:pt>
                <c:pt idx="79">
                  <c:v>7.573565949333048E-12</c:v>
                </c:pt>
                <c:pt idx="80">
                  <c:v>3.1556524788887703E-12</c:v>
                </c:pt>
                <c:pt idx="81">
                  <c:v>1.2986224192957903E-12</c:v>
                </c:pt>
                <c:pt idx="82">
                  <c:v>5.278952923966628E-13</c:v>
                </c:pt>
                <c:pt idx="83">
                  <c:v>2.1200614152476416E-13</c:v>
                </c:pt>
                <c:pt idx="84">
                  <c:v>8.412942123998579E-14</c:v>
                </c:pt>
                <c:pt idx="85">
                  <c:v>3.2991929898033644E-14</c:v>
                </c:pt>
                <c:pt idx="86">
                  <c:v>1.2787569727920017E-14</c:v>
                </c:pt>
                <c:pt idx="87">
                  <c:v>4.89945200303449E-15</c:v>
                </c:pt>
                <c:pt idx="88">
                  <c:v>1.8558530314524584E-15</c:v>
                </c:pt>
                <c:pt idx="89">
                  <c:v>6.950760417424939E-16</c:v>
                </c:pt>
                <c:pt idx="90">
                  <c:v>2.5743557101573854E-16</c:v>
                </c:pt>
                <c:pt idx="91">
                  <c:v>9.4298743961809E-17</c:v>
                </c:pt>
                <c:pt idx="92">
                  <c:v>3.416621158036558E-17</c:v>
                </c:pt>
                <c:pt idx="93">
                  <c:v>1.2245953971457198E-17</c:v>
                </c:pt>
                <c:pt idx="94">
                  <c:v>4.3425368693110634E-18</c:v>
                </c:pt>
                <c:pt idx="95">
                  <c:v>1.5236971471266891E-18</c:v>
                </c:pt>
                <c:pt idx="96">
                  <c:v>5.290615094189893E-19</c:v>
                </c:pt>
                <c:pt idx="97">
                  <c:v>1.8180807883814066E-19</c:v>
                </c:pt>
                <c:pt idx="98">
                  <c:v>6.183948259800703E-20</c:v>
                </c:pt>
                <c:pt idx="99">
                  <c:v>2.082137461212358E-20</c:v>
                </c:pt>
                <c:pt idx="100">
                  <c:v>6.940458204041193E-21</c:v>
                </c:pt>
                <c:pt idx="101">
                  <c:v>2.29058026536013E-21</c:v>
                </c:pt>
                <c:pt idx="102">
                  <c:v>7.485556422745523E-22</c:v>
                </c:pt>
                <c:pt idx="103">
                  <c:v>2.4225101691733085E-22</c:v>
                </c:pt>
                <c:pt idx="104">
                  <c:v>7.764455670427271E-23</c:v>
                </c:pt>
                <c:pt idx="105">
                  <c:v>2.464906562040404E-23</c:v>
                </c:pt>
                <c:pt idx="106">
                  <c:v>7.751278496982403E-24</c:v>
                </c:pt>
                <c:pt idx="107">
                  <c:v>2.414728503732836E-24</c:v>
                </c:pt>
                <c:pt idx="108">
                  <c:v>7.452865752261841E-25</c:v>
                </c:pt>
                <c:pt idx="109">
                  <c:v>2.2791638386121836E-25</c:v>
                </c:pt>
                <c:pt idx="110">
                  <c:v>6.906557086703587E-26</c:v>
                </c:pt>
                <c:pt idx="111">
                  <c:v>2.0740411671782544E-26</c:v>
                </c:pt>
                <c:pt idx="112">
                  <c:v>6.172741568982901E-27</c:v>
                </c:pt>
                <c:pt idx="113">
                  <c:v>1.8208677194639826E-27</c:v>
                </c:pt>
                <c:pt idx="114">
                  <c:v>5.3241746183157395E-28</c:v>
                </c:pt>
                <c:pt idx="115">
                  <c:v>1.5432390198016636E-28</c:v>
                </c:pt>
                <c:pt idx="116">
                  <c:v>4.4345948844875396E-29</c:v>
                </c:pt>
                <c:pt idx="117">
                  <c:v>1.263417346007846E-29</c:v>
                </c:pt>
                <c:pt idx="118">
                  <c:v>3.5689755536944806E-30</c:v>
                </c:pt>
                <c:pt idx="119">
                  <c:v>9.997130402505548E-31</c:v>
                </c:pt>
                <c:pt idx="120">
                  <c:v>2.7769806673626525E-31</c:v>
                </c:pt>
                <c:pt idx="121">
                  <c:v>7.650084483092708E-32</c:v>
                </c:pt>
                <c:pt idx="122">
                  <c:v>2.090187017238445E-32</c:v>
                </c:pt>
                <c:pt idx="123">
                  <c:v>5.6644634613508E-33</c:v>
                </c:pt>
                <c:pt idx="124">
                  <c:v>1.5227052315459142E-33</c:v>
                </c:pt>
                <c:pt idx="125">
                  <c:v>4.060547284122438E-34</c:v>
                </c:pt>
                <c:pt idx="126">
                  <c:v>1.0742188582334492E-34</c:v>
                </c:pt>
                <c:pt idx="127">
                  <c:v>2.819472068854198E-35</c:v>
                </c:pt>
                <c:pt idx="128">
                  <c:v>7.342375179307808E-36</c:v>
                </c:pt>
                <c:pt idx="129">
                  <c:v>1.8972545682965912E-36</c:v>
                </c:pt>
                <c:pt idx="130">
                  <c:v>4.864755303324593E-37</c:v>
                </c:pt>
                <c:pt idx="131">
                  <c:v>1.2378512222199983E-37</c:v>
                </c:pt>
                <c:pt idx="132">
                  <c:v>3.125886924797976E-38</c:v>
                </c:pt>
                <c:pt idx="133">
                  <c:v>7.834303069669113E-39</c:v>
                </c:pt>
                <c:pt idx="134">
                  <c:v>1.9488316093704262E-39</c:v>
                </c:pt>
                <c:pt idx="135">
                  <c:v>4.811929899680065E-40</c:v>
                </c:pt>
                <c:pt idx="136">
                  <c:v>1.1793945832549181E-40</c:v>
                </c:pt>
                <c:pt idx="137">
                  <c:v>2.869573195267441E-41</c:v>
                </c:pt>
                <c:pt idx="138">
                  <c:v>6.931336220452756E-42</c:v>
                </c:pt>
                <c:pt idx="139">
                  <c:v>1.6621909401565362E-42</c:v>
                </c:pt>
                <c:pt idx="140">
                  <c:v>3.9575974765631815E-43</c:v>
                </c:pt>
                <c:pt idx="141">
                  <c:v>9.35602240322265E-44</c:v>
                </c:pt>
                <c:pt idx="142">
                  <c:v>2.1962493904278522E-44</c:v>
                </c:pt>
                <c:pt idx="143">
                  <c:v>5.119462448549772E-45</c:v>
                </c:pt>
                <c:pt idx="144">
                  <c:v>1.185060751979114E-45</c:v>
                </c:pt>
                <c:pt idx="145">
                  <c:v>2.7242775907565842E-46</c:v>
                </c:pt>
                <c:pt idx="146">
                  <c:v>6.21981185104243E-47</c:v>
                </c:pt>
                <c:pt idx="147">
                  <c:v>1.4103881748395532E-47</c:v>
                </c:pt>
                <c:pt idx="148">
                  <c:v>3.176549943332327E-48</c:v>
                </c:pt>
                <c:pt idx="149">
                  <c:v>7.106375712152857E-49</c:v>
                </c:pt>
                <c:pt idx="150">
                  <c:v>1.579194602700635E-49</c:v>
                </c:pt>
                <c:pt idx="151">
                  <c:v>3.4860808006636536E-50</c:v>
                </c:pt>
                <c:pt idx="152">
                  <c:v>7.644914036543101E-51</c:v>
                </c:pt>
                <c:pt idx="153">
                  <c:v>1.6655586136259478E-51</c:v>
                </c:pt>
                <c:pt idx="154">
                  <c:v>3.605105224298588E-52</c:v>
                </c:pt>
                <c:pt idx="155">
                  <c:v>7.75291446085718E-53</c:v>
                </c:pt>
                <c:pt idx="156">
                  <c:v>1.656605654029312E-53</c:v>
                </c:pt>
                <c:pt idx="157">
                  <c:v>3.517209456537818E-54</c:v>
                </c:pt>
                <c:pt idx="158">
                  <c:v>7.420273115058687E-55</c:v>
                </c:pt>
                <c:pt idx="159">
                  <c:v>1.5556128123812763E-55</c:v>
                </c:pt>
                <c:pt idx="160">
                  <c:v>3.240860025794326E-56</c:v>
                </c:pt>
                <c:pt idx="161">
                  <c:v>6.709855125868171E-57</c:v>
                </c:pt>
                <c:pt idx="162">
                  <c:v>1.3806286267218461E-57</c:v>
                </c:pt>
                <c:pt idx="163">
                  <c:v>2.8233714247890516E-58</c:v>
                </c:pt>
                <c:pt idx="164">
                  <c:v>5.738559806481812E-59</c:v>
                </c:pt>
                <c:pt idx="165">
                  <c:v>1.1593050114104673E-59</c:v>
                </c:pt>
                <c:pt idx="166">
                  <c:v>2.327921709659573E-60</c:v>
                </c:pt>
                <c:pt idx="167">
                  <c:v>4.6465503186817825E-61</c:v>
                </c:pt>
                <c:pt idx="168">
                  <c:v>9.219345870400361E-62</c:v>
                </c:pt>
                <c:pt idx="169">
                  <c:v>1.8184114142801504E-62</c:v>
                </c:pt>
                <c:pt idx="170">
                  <c:v>3.565512577019903E-63</c:v>
                </c:pt>
                <c:pt idx="171">
                  <c:v>6.950316914268817E-64</c:v>
                </c:pt>
                <c:pt idx="172">
                  <c:v>1.3469606423001584E-64</c:v>
                </c:pt>
                <c:pt idx="173">
                  <c:v>2.5952998888249683E-65</c:v>
                </c:pt>
                <c:pt idx="174">
                  <c:v>4.971838867480782E-66</c:v>
                </c:pt>
                <c:pt idx="175">
                  <c:v>9.470169271391966E-67</c:v>
                </c:pt>
                <c:pt idx="176">
                  <c:v>1.7935926650363575E-67</c:v>
                </c:pt>
                <c:pt idx="177">
                  <c:v>3.3777639642869256E-68</c:v>
                </c:pt>
                <c:pt idx="178">
                  <c:v>6.325400682185254E-69</c:v>
                </c:pt>
                <c:pt idx="179">
                  <c:v>1.1779144659562855E-69</c:v>
                </c:pt>
                <c:pt idx="180">
                  <c:v>2.181323085104233E-70</c:v>
                </c:pt>
                <c:pt idx="181">
                  <c:v>4.017169585827317E-71</c:v>
                </c:pt>
                <c:pt idx="182">
                  <c:v>7.357453453896186E-72</c:v>
                </c:pt>
                <c:pt idx="183">
                  <c:v>1.340155456083094E-72</c:v>
                </c:pt>
                <c:pt idx="184">
                  <c:v>2.4278178552229963E-73</c:v>
                </c:pt>
                <c:pt idx="185">
                  <c:v>4.374446585987381E-74</c:v>
                </c:pt>
                <c:pt idx="186">
                  <c:v>7.839510010730074E-75</c:v>
                </c:pt>
                <c:pt idx="187">
                  <c:v>1.3974171142121345E-75</c:v>
                </c:pt>
                <c:pt idx="188">
                  <c:v>2.4776899188158415E-76</c:v>
                </c:pt>
                <c:pt idx="189">
                  <c:v>4.369823489975029E-77</c:v>
                </c:pt>
                <c:pt idx="190">
                  <c:v>7.666356999956193E-78</c:v>
                </c:pt>
                <c:pt idx="191">
                  <c:v>1.3379331588056183E-78</c:v>
                </c:pt>
                <c:pt idx="192">
                  <c:v>2.3228006229264207E-79</c:v>
                </c:pt>
                <c:pt idx="193">
                  <c:v>4.011745462739933E-80</c:v>
                </c:pt>
                <c:pt idx="194">
                  <c:v>6.8930334411339065E-81</c:v>
                </c:pt>
                <c:pt idx="195">
                  <c:v>1.1782963147237448E-81</c:v>
                </c:pt>
                <c:pt idx="196">
                  <c:v>2.0039052971492262E-82</c:v>
                </c:pt>
                <c:pt idx="197">
                  <c:v>3.3907027024521596E-83</c:v>
                </c:pt>
                <c:pt idx="198">
                  <c:v>5.708253707831919E-84</c:v>
                </c:pt>
                <c:pt idx="199">
                  <c:v>9.561563999718458E-85</c:v>
                </c:pt>
                <c:pt idx="200">
                  <c:v>1.5935939999530765E-85</c:v>
                </c:pt>
                <c:pt idx="201">
                  <c:v>2.6427761193251684E-86</c:v>
                </c:pt>
                <c:pt idx="202">
                  <c:v>4.361016698556384E-87</c:v>
                </c:pt>
                <c:pt idx="203">
                  <c:v>7.1609469598627E-88</c:v>
                </c:pt>
                <c:pt idx="204">
                  <c:v>1.1700893725265851E-88</c:v>
                </c:pt>
                <c:pt idx="205">
                  <c:v>1.902584345571683E-89</c:v>
                </c:pt>
                <c:pt idx="206">
                  <c:v>3.0786154459088725E-90</c:v>
                </c:pt>
                <c:pt idx="207">
                  <c:v>4.9575127953444E-91</c:v>
                </c:pt>
                <c:pt idx="208">
                  <c:v>7.944732043821156E-92</c:v>
                </c:pt>
                <c:pt idx="209">
                  <c:v>1.2671023993335178E-92</c:v>
                </c:pt>
                <c:pt idx="210">
                  <c:v>2.0112736497357426E-93</c:v>
                </c:pt>
                <c:pt idx="211">
                  <c:v>3.1773675351275555E-94</c:v>
                </c:pt>
                <c:pt idx="212">
                  <c:v>4.9958609042886095E-95</c:v>
                </c:pt>
                <c:pt idx="213">
                  <c:v>7.818248676507997E-96</c:v>
                </c:pt>
                <c:pt idx="214">
                  <c:v>1.217795744004361E-96</c:v>
                </c:pt>
                <c:pt idx="215">
                  <c:v>1.888055417061025E-97</c:v>
                </c:pt>
                <c:pt idx="216">
                  <c:v>2.913665767069483E-98</c:v>
                </c:pt>
                <c:pt idx="217">
                  <c:v>4.475677061550666E-99</c:v>
                </c:pt>
                <c:pt idx="218">
                  <c:v>6.843542907569827E-100</c:v>
                </c:pt>
                <c:pt idx="219">
                  <c:v>1.0416351457488321E-100</c:v>
                </c:pt>
                <c:pt idx="220">
                  <c:v>1.5782350693164127E-101</c:v>
                </c:pt>
                <c:pt idx="221">
                  <c:v>2.3804450517592952E-102</c:v>
                </c:pt>
                <c:pt idx="222">
                  <c:v>3.5742418194584013E-103</c:v>
                </c:pt>
                <c:pt idx="223">
                  <c:v>5.342663407262185E-104</c:v>
                </c:pt>
                <c:pt idx="224">
                  <c:v>7.950391975092539E-105</c:v>
                </c:pt>
                <c:pt idx="225">
                  <c:v>1.1778358481618577E-105</c:v>
                </c:pt>
                <c:pt idx="226">
                  <c:v>1.7372210149879909E-106</c:v>
                </c:pt>
                <c:pt idx="227">
                  <c:v>2.5509853377209852E-107</c:v>
                </c:pt>
                <c:pt idx="228">
                  <c:v>3.7295107276622596E-108</c:v>
                </c:pt>
                <c:pt idx="229">
                  <c:v>5.428691015520028E-109</c:v>
                </c:pt>
                <c:pt idx="230">
                  <c:v>7.867668138434825E-110</c:v>
                </c:pt>
                <c:pt idx="231">
                  <c:v>1.1353056476817928E-110</c:v>
                </c:pt>
                <c:pt idx="232">
                  <c:v>1.6311862754048749E-111</c:v>
                </c:pt>
                <c:pt idx="233">
                  <c:v>2.333599821752325E-112</c:v>
                </c:pt>
                <c:pt idx="234">
                  <c:v>3.324216270302457E-113</c:v>
                </c:pt>
                <c:pt idx="235">
                  <c:v>4.715200383407741E-114</c:v>
                </c:pt>
                <c:pt idx="236">
                  <c:v>6.659887547186075E-115</c:v>
                </c:pt>
                <c:pt idx="237">
                  <c:v>9.366930446112623E-116</c:v>
                </c:pt>
                <c:pt idx="238">
                  <c:v>1.311895020463953E-116</c:v>
                </c:pt>
                <c:pt idx="239">
                  <c:v>1.829700168011092E-117</c:v>
                </c:pt>
                <c:pt idx="240">
                  <c:v>2.541250233348739E-118</c:v>
                </c:pt>
                <c:pt idx="241">
                  <c:v>3.514868925793553E-119</c:v>
                </c:pt>
                <c:pt idx="242">
                  <c:v>4.8414172531591646E-120</c:v>
                </c:pt>
                <c:pt idx="243">
                  <c:v>6.641175930259486E-121</c:v>
                </c:pt>
                <c:pt idx="244">
                  <c:v>9.072644713469244E-122</c:v>
                </c:pt>
                <c:pt idx="245">
                  <c:v>1.234373430403979E-122</c:v>
                </c:pt>
                <c:pt idx="246">
                  <c:v>1.6725927241246328E-123</c:v>
                </c:pt>
                <c:pt idx="247">
                  <c:v>2.257210154014349E-124</c:v>
                </c:pt>
                <c:pt idx="248">
                  <c:v>3.0338846156106845E-125</c:v>
                </c:pt>
                <c:pt idx="249">
                  <c:v>4.0614251882338487E-126</c:v>
                </c:pt>
                <c:pt idx="250">
                  <c:v>5.415233584311798E-127</c:v>
                </c:pt>
              </c:numCache>
            </c:numRef>
          </c:yVal>
          <c:smooth val="0"/>
        </c:ser>
        <c:axId val="35422188"/>
        <c:axId val="50364237"/>
      </c:scatterChart>
      <c:valAx>
        <c:axId val="35422188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364237"/>
        <c:crosses val="autoZero"/>
        <c:crossBetween val="midCat"/>
        <c:dispUnits/>
      </c:valAx>
      <c:valAx>
        <c:axId val="50364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P(i gets k votes), i=1,2</a:t>
                </a:r>
              </a:p>
            </c:rich>
          </c:tx>
          <c:layout>
            <c:manualLayout>
              <c:xMode val="factor"/>
              <c:yMode val="factor"/>
              <c:x val="-0.026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42218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FavoredMinorities!$H$16:$H$116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6</c:v>
                </c:pt>
              </c:numCache>
            </c:numRef>
          </c:xVal>
          <c:yVal>
            <c:numRef>
              <c:f>FavoredMinorities!$I$16:$I$116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0"/>
        </c:ser>
        <c:axId val="50624950"/>
        <c:axId val="52971367"/>
      </c:scatterChart>
      <c:valAx>
        <c:axId val="50624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971367"/>
        <c:crosses val="autoZero"/>
        <c:crossBetween val="midCat"/>
        <c:dispUnits/>
      </c:valAx>
      <c:valAx>
        <c:axId val="52971367"/>
        <c:scaling>
          <c:orientation val="minMax"/>
          <c:max val="1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5062495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1195"/>
          <c:w val="0.9765"/>
          <c:h val="0.84825"/>
        </c:manualLayout>
      </c:layout>
      <c:scatterChart>
        <c:scatterStyle val="line"/>
        <c:varyColors val="0"/>
        <c:ser>
          <c:idx val="1"/>
          <c:order val="1"/>
          <c:tx>
            <c:v>V(k,Lamda(k))  [left scale]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CapitalistLiberalizatn!$B$30:$B$230</c:f>
              <c:numCache>
                <c:ptCount val="201"/>
                <c:pt idx="0">
                  <c:v>0</c:v>
                </c:pt>
                <c:pt idx="1">
                  <c:v>0.135</c:v>
                </c:pt>
                <c:pt idx="2">
                  <c:v>0.27</c:v>
                </c:pt>
                <c:pt idx="3">
                  <c:v>0.405</c:v>
                </c:pt>
                <c:pt idx="4">
                  <c:v>0.54</c:v>
                </c:pt>
                <c:pt idx="5">
                  <c:v>0.675</c:v>
                </c:pt>
                <c:pt idx="6">
                  <c:v>0.81</c:v>
                </c:pt>
                <c:pt idx="7">
                  <c:v>0.9450000000000001</c:v>
                </c:pt>
                <c:pt idx="8">
                  <c:v>1.08</c:v>
                </c:pt>
                <c:pt idx="9">
                  <c:v>1.215</c:v>
                </c:pt>
                <c:pt idx="10">
                  <c:v>1.35</c:v>
                </c:pt>
                <c:pt idx="11">
                  <c:v>1.485</c:v>
                </c:pt>
                <c:pt idx="12">
                  <c:v>1.62</c:v>
                </c:pt>
                <c:pt idx="13">
                  <c:v>1.7550000000000001</c:v>
                </c:pt>
                <c:pt idx="14">
                  <c:v>1.8900000000000001</c:v>
                </c:pt>
                <c:pt idx="15">
                  <c:v>2.0250000000000004</c:v>
                </c:pt>
                <c:pt idx="16">
                  <c:v>2.16</c:v>
                </c:pt>
                <c:pt idx="17">
                  <c:v>2.295</c:v>
                </c:pt>
                <c:pt idx="18">
                  <c:v>2.4299999999999997</c:v>
                </c:pt>
                <c:pt idx="19">
                  <c:v>2.5649999999999995</c:v>
                </c:pt>
                <c:pt idx="20">
                  <c:v>2.6999999999999993</c:v>
                </c:pt>
                <c:pt idx="21">
                  <c:v>2.834999999999999</c:v>
                </c:pt>
                <c:pt idx="22">
                  <c:v>2.969999999999999</c:v>
                </c:pt>
                <c:pt idx="23">
                  <c:v>3.1049999999999986</c:v>
                </c:pt>
                <c:pt idx="24">
                  <c:v>3.2399999999999984</c:v>
                </c:pt>
                <c:pt idx="25">
                  <c:v>3.3749999999999982</c:v>
                </c:pt>
                <c:pt idx="26">
                  <c:v>3.509999999999998</c:v>
                </c:pt>
                <c:pt idx="27">
                  <c:v>3.644999999999998</c:v>
                </c:pt>
                <c:pt idx="28">
                  <c:v>3.7799999999999976</c:v>
                </c:pt>
                <c:pt idx="29">
                  <c:v>3.9149999999999974</c:v>
                </c:pt>
                <c:pt idx="30">
                  <c:v>4.049999999999997</c:v>
                </c:pt>
                <c:pt idx="31">
                  <c:v>4.184999999999997</c:v>
                </c:pt>
                <c:pt idx="32">
                  <c:v>4.319999999999997</c:v>
                </c:pt>
                <c:pt idx="33">
                  <c:v>4.4549999999999965</c:v>
                </c:pt>
                <c:pt idx="34">
                  <c:v>4.589999999999996</c:v>
                </c:pt>
                <c:pt idx="35">
                  <c:v>4.724999999999996</c:v>
                </c:pt>
                <c:pt idx="36">
                  <c:v>4.859999999999996</c:v>
                </c:pt>
                <c:pt idx="37">
                  <c:v>4.994999999999996</c:v>
                </c:pt>
                <c:pt idx="38">
                  <c:v>5.1299999999999955</c:v>
                </c:pt>
                <c:pt idx="39">
                  <c:v>5.264999999999995</c:v>
                </c:pt>
                <c:pt idx="40">
                  <c:v>5.399999999999995</c:v>
                </c:pt>
                <c:pt idx="41">
                  <c:v>5.534999999999995</c:v>
                </c:pt>
                <c:pt idx="42">
                  <c:v>5.669999999999995</c:v>
                </c:pt>
                <c:pt idx="43">
                  <c:v>5.804999999999994</c:v>
                </c:pt>
                <c:pt idx="44">
                  <c:v>5.939999999999994</c:v>
                </c:pt>
                <c:pt idx="45">
                  <c:v>6.074999999999994</c:v>
                </c:pt>
                <c:pt idx="46">
                  <c:v>6.209999999999994</c:v>
                </c:pt>
                <c:pt idx="47">
                  <c:v>6.3449999999999935</c:v>
                </c:pt>
                <c:pt idx="48">
                  <c:v>6.479999999999993</c:v>
                </c:pt>
                <c:pt idx="49">
                  <c:v>6.614999999999993</c:v>
                </c:pt>
                <c:pt idx="50">
                  <c:v>6.749999999999993</c:v>
                </c:pt>
                <c:pt idx="51">
                  <c:v>6.884999999999993</c:v>
                </c:pt>
                <c:pt idx="52">
                  <c:v>7.0199999999999925</c:v>
                </c:pt>
                <c:pt idx="53">
                  <c:v>7.154999999999992</c:v>
                </c:pt>
                <c:pt idx="54">
                  <c:v>7.289999999999992</c:v>
                </c:pt>
                <c:pt idx="55">
                  <c:v>7.424999999999992</c:v>
                </c:pt>
                <c:pt idx="56">
                  <c:v>7.559999999999992</c:v>
                </c:pt>
                <c:pt idx="57">
                  <c:v>7.694999999999991</c:v>
                </c:pt>
                <c:pt idx="58">
                  <c:v>7.829999999999991</c:v>
                </c:pt>
                <c:pt idx="59">
                  <c:v>7.964999999999991</c:v>
                </c:pt>
                <c:pt idx="60">
                  <c:v>8.09999999999999</c:v>
                </c:pt>
                <c:pt idx="61">
                  <c:v>8.23499999999999</c:v>
                </c:pt>
                <c:pt idx="62">
                  <c:v>8.36999999999999</c:v>
                </c:pt>
                <c:pt idx="63">
                  <c:v>8.50499999999999</c:v>
                </c:pt>
                <c:pt idx="64">
                  <c:v>8.63999999999999</c:v>
                </c:pt>
                <c:pt idx="65">
                  <c:v>8.77499999999999</c:v>
                </c:pt>
                <c:pt idx="66">
                  <c:v>8.90999999999999</c:v>
                </c:pt>
                <c:pt idx="67">
                  <c:v>9.04499999999999</c:v>
                </c:pt>
                <c:pt idx="68">
                  <c:v>9.179999999999989</c:v>
                </c:pt>
                <c:pt idx="69">
                  <c:v>9.314999999999989</c:v>
                </c:pt>
                <c:pt idx="70">
                  <c:v>9.449999999999989</c:v>
                </c:pt>
                <c:pt idx="71">
                  <c:v>9.584999999999988</c:v>
                </c:pt>
                <c:pt idx="72">
                  <c:v>9.719999999999988</c:v>
                </c:pt>
                <c:pt idx="73">
                  <c:v>9.854999999999988</c:v>
                </c:pt>
                <c:pt idx="74">
                  <c:v>9.989999999999988</c:v>
                </c:pt>
                <c:pt idx="75">
                  <c:v>10.124999999999988</c:v>
                </c:pt>
                <c:pt idx="76">
                  <c:v>10.259999999999987</c:v>
                </c:pt>
                <c:pt idx="77">
                  <c:v>10.394999999999987</c:v>
                </c:pt>
                <c:pt idx="78">
                  <c:v>10.529999999999987</c:v>
                </c:pt>
                <c:pt idx="79">
                  <c:v>10.664999999999987</c:v>
                </c:pt>
                <c:pt idx="80">
                  <c:v>10.799999999999986</c:v>
                </c:pt>
                <c:pt idx="81">
                  <c:v>10.934999999999986</c:v>
                </c:pt>
                <c:pt idx="82">
                  <c:v>11.069999999999986</c:v>
                </c:pt>
                <c:pt idx="83">
                  <c:v>11.204999999999986</c:v>
                </c:pt>
                <c:pt idx="84">
                  <c:v>11.339999999999986</c:v>
                </c:pt>
                <c:pt idx="85">
                  <c:v>11.474999999999985</c:v>
                </c:pt>
                <c:pt idx="86">
                  <c:v>11.609999999999985</c:v>
                </c:pt>
                <c:pt idx="87">
                  <c:v>11.744999999999985</c:v>
                </c:pt>
                <c:pt idx="88">
                  <c:v>11.879999999999985</c:v>
                </c:pt>
                <c:pt idx="89">
                  <c:v>12.014999999999985</c:v>
                </c:pt>
                <c:pt idx="90">
                  <c:v>12.149999999999984</c:v>
                </c:pt>
                <c:pt idx="91">
                  <c:v>12.284999999999984</c:v>
                </c:pt>
                <c:pt idx="92">
                  <c:v>12.419999999999984</c:v>
                </c:pt>
                <c:pt idx="93">
                  <c:v>12.554999999999984</c:v>
                </c:pt>
                <c:pt idx="94">
                  <c:v>12.689999999999984</c:v>
                </c:pt>
                <c:pt idx="95">
                  <c:v>12.824999999999983</c:v>
                </c:pt>
                <c:pt idx="96">
                  <c:v>12.959999999999983</c:v>
                </c:pt>
                <c:pt idx="97">
                  <c:v>13.094999999999983</c:v>
                </c:pt>
                <c:pt idx="98">
                  <c:v>13.229999999999983</c:v>
                </c:pt>
                <c:pt idx="99">
                  <c:v>13.364999999999982</c:v>
                </c:pt>
                <c:pt idx="100">
                  <c:v>13.499999999999982</c:v>
                </c:pt>
                <c:pt idx="101">
                  <c:v>13.634999999999982</c:v>
                </c:pt>
                <c:pt idx="102">
                  <c:v>13.769999999999982</c:v>
                </c:pt>
                <c:pt idx="103">
                  <c:v>13.904999999999982</c:v>
                </c:pt>
                <c:pt idx="104">
                  <c:v>14.039999999999981</c:v>
                </c:pt>
                <c:pt idx="105">
                  <c:v>14.174999999999981</c:v>
                </c:pt>
                <c:pt idx="106">
                  <c:v>14.309999999999981</c:v>
                </c:pt>
                <c:pt idx="107">
                  <c:v>14.44499999999998</c:v>
                </c:pt>
                <c:pt idx="108">
                  <c:v>14.57999999999998</c:v>
                </c:pt>
                <c:pt idx="109">
                  <c:v>14.71499999999998</c:v>
                </c:pt>
                <c:pt idx="110">
                  <c:v>14.84999999999998</c:v>
                </c:pt>
                <c:pt idx="111">
                  <c:v>14.98499999999998</c:v>
                </c:pt>
                <c:pt idx="112">
                  <c:v>15.11999999999998</c:v>
                </c:pt>
                <c:pt idx="113">
                  <c:v>15.25499999999998</c:v>
                </c:pt>
                <c:pt idx="114">
                  <c:v>15.38999999999998</c:v>
                </c:pt>
                <c:pt idx="115">
                  <c:v>15.524999999999979</c:v>
                </c:pt>
                <c:pt idx="116">
                  <c:v>15.659999999999979</c:v>
                </c:pt>
                <c:pt idx="117">
                  <c:v>15.794999999999979</c:v>
                </c:pt>
                <c:pt idx="118">
                  <c:v>15.929999999999978</c:v>
                </c:pt>
                <c:pt idx="119">
                  <c:v>16.06499999999998</c:v>
                </c:pt>
                <c:pt idx="120">
                  <c:v>16.19999999999998</c:v>
                </c:pt>
                <c:pt idx="121">
                  <c:v>16.334999999999983</c:v>
                </c:pt>
                <c:pt idx="122">
                  <c:v>16.469999999999985</c:v>
                </c:pt>
                <c:pt idx="123">
                  <c:v>16.604999999999986</c:v>
                </c:pt>
                <c:pt idx="124">
                  <c:v>16.739999999999988</c:v>
                </c:pt>
                <c:pt idx="125">
                  <c:v>16.87499999999999</c:v>
                </c:pt>
                <c:pt idx="126">
                  <c:v>17.00999999999999</c:v>
                </c:pt>
                <c:pt idx="127">
                  <c:v>17.144999999999992</c:v>
                </c:pt>
                <c:pt idx="128">
                  <c:v>17.279999999999994</c:v>
                </c:pt>
                <c:pt idx="129">
                  <c:v>17.414999999999996</c:v>
                </c:pt>
                <c:pt idx="130">
                  <c:v>17.549999999999997</c:v>
                </c:pt>
                <c:pt idx="131">
                  <c:v>17.685</c:v>
                </c:pt>
                <c:pt idx="132">
                  <c:v>17.82</c:v>
                </c:pt>
                <c:pt idx="133">
                  <c:v>17.955000000000002</c:v>
                </c:pt>
                <c:pt idx="134">
                  <c:v>18.090000000000003</c:v>
                </c:pt>
                <c:pt idx="135">
                  <c:v>18.225000000000005</c:v>
                </c:pt>
                <c:pt idx="136">
                  <c:v>18.360000000000007</c:v>
                </c:pt>
                <c:pt idx="137">
                  <c:v>18.495000000000008</c:v>
                </c:pt>
                <c:pt idx="138">
                  <c:v>18.63000000000001</c:v>
                </c:pt>
                <c:pt idx="139">
                  <c:v>18.76500000000001</c:v>
                </c:pt>
                <c:pt idx="140">
                  <c:v>18.900000000000013</c:v>
                </c:pt>
                <c:pt idx="141">
                  <c:v>19.035000000000014</c:v>
                </c:pt>
                <c:pt idx="142">
                  <c:v>19.170000000000016</c:v>
                </c:pt>
                <c:pt idx="143">
                  <c:v>19.305000000000017</c:v>
                </c:pt>
                <c:pt idx="144">
                  <c:v>19.44000000000002</c:v>
                </c:pt>
                <c:pt idx="145">
                  <c:v>19.57500000000002</c:v>
                </c:pt>
                <c:pt idx="146">
                  <c:v>19.710000000000022</c:v>
                </c:pt>
                <c:pt idx="147">
                  <c:v>19.845000000000024</c:v>
                </c:pt>
                <c:pt idx="148">
                  <c:v>19.980000000000025</c:v>
                </c:pt>
                <c:pt idx="149">
                  <c:v>20.115000000000027</c:v>
                </c:pt>
                <c:pt idx="150">
                  <c:v>20.25000000000003</c:v>
                </c:pt>
                <c:pt idx="151">
                  <c:v>20.38500000000003</c:v>
                </c:pt>
                <c:pt idx="152">
                  <c:v>20.52000000000003</c:v>
                </c:pt>
                <c:pt idx="153">
                  <c:v>20.655000000000033</c:v>
                </c:pt>
                <c:pt idx="154">
                  <c:v>20.790000000000035</c:v>
                </c:pt>
                <c:pt idx="155">
                  <c:v>20.925000000000036</c:v>
                </c:pt>
                <c:pt idx="156">
                  <c:v>21.060000000000038</c:v>
                </c:pt>
                <c:pt idx="157">
                  <c:v>21.19500000000004</c:v>
                </c:pt>
                <c:pt idx="158">
                  <c:v>21.33000000000004</c:v>
                </c:pt>
                <c:pt idx="159">
                  <c:v>21.465000000000042</c:v>
                </c:pt>
                <c:pt idx="160">
                  <c:v>21.600000000000044</c:v>
                </c:pt>
                <c:pt idx="161">
                  <c:v>21.735000000000046</c:v>
                </c:pt>
                <c:pt idx="162">
                  <c:v>21.870000000000047</c:v>
                </c:pt>
                <c:pt idx="163">
                  <c:v>22.00500000000005</c:v>
                </c:pt>
                <c:pt idx="164">
                  <c:v>22.14000000000005</c:v>
                </c:pt>
                <c:pt idx="165">
                  <c:v>22.275000000000052</c:v>
                </c:pt>
                <c:pt idx="166">
                  <c:v>22.410000000000053</c:v>
                </c:pt>
                <c:pt idx="167">
                  <c:v>22.545000000000055</c:v>
                </c:pt>
                <c:pt idx="168">
                  <c:v>22.680000000000057</c:v>
                </c:pt>
                <c:pt idx="169">
                  <c:v>22.815000000000058</c:v>
                </c:pt>
                <c:pt idx="170">
                  <c:v>22.95000000000006</c:v>
                </c:pt>
                <c:pt idx="171">
                  <c:v>23.08500000000006</c:v>
                </c:pt>
                <c:pt idx="172">
                  <c:v>23.220000000000063</c:v>
                </c:pt>
                <c:pt idx="173">
                  <c:v>23.355000000000064</c:v>
                </c:pt>
                <c:pt idx="174">
                  <c:v>23.490000000000066</c:v>
                </c:pt>
                <c:pt idx="175">
                  <c:v>23.625000000000068</c:v>
                </c:pt>
                <c:pt idx="176">
                  <c:v>23.76000000000007</c:v>
                </c:pt>
                <c:pt idx="177">
                  <c:v>23.89500000000007</c:v>
                </c:pt>
                <c:pt idx="178">
                  <c:v>24.030000000000072</c:v>
                </c:pt>
                <c:pt idx="179">
                  <c:v>24.165000000000074</c:v>
                </c:pt>
                <c:pt idx="180">
                  <c:v>24.300000000000075</c:v>
                </c:pt>
                <c:pt idx="181">
                  <c:v>24.435000000000077</c:v>
                </c:pt>
                <c:pt idx="182">
                  <c:v>24.57000000000008</c:v>
                </c:pt>
                <c:pt idx="183">
                  <c:v>24.70500000000008</c:v>
                </c:pt>
                <c:pt idx="184">
                  <c:v>24.84000000000008</c:v>
                </c:pt>
                <c:pt idx="185">
                  <c:v>24.975000000000083</c:v>
                </c:pt>
                <c:pt idx="186">
                  <c:v>25.110000000000085</c:v>
                </c:pt>
                <c:pt idx="187">
                  <c:v>25.245000000000086</c:v>
                </c:pt>
                <c:pt idx="188">
                  <c:v>25.380000000000088</c:v>
                </c:pt>
                <c:pt idx="189">
                  <c:v>25.51500000000009</c:v>
                </c:pt>
                <c:pt idx="190">
                  <c:v>25.65000000000009</c:v>
                </c:pt>
                <c:pt idx="191">
                  <c:v>25.785000000000093</c:v>
                </c:pt>
                <c:pt idx="192">
                  <c:v>25.920000000000094</c:v>
                </c:pt>
                <c:pt idx="193">
                  <c:v>26.055000000000096</c:v>
                </c:pt>
                <c:pt idx="194">
                  <c:v>26.190000000000097</c:v>
                </c:pt>
                <c:pt idx="195">
                  <c:v>26.3250000000001</c:v>
                </c:pt>
                <c:pt idx="196">
                  <c:v>26.4600000000001</c:v>
                </c:pt>
                <c:pt idx="197">
                  <c:v>26.595000000000102</c:v>
                </c:pt>
                <c:pt idx="198">
                  <c:v>26.730000000000103</c:v>
                </c:pt>
                <c:pt idx="199">
                  <c:v>26.865000000000105</c:v>
                </c:pt>
                <c:pt idx="200">
                  <c:v>27.000000000000107</c:v>
                </c:pt>
              </c:numCache>
            </c:numRef>
          </c:xVal>
          <c:yVal>
            <c:numRef>
              <c:f>CapitalistLiberalizatn!$E$30:$E$230</c:f>
              <c:numCache>
                <c:ptCount val="201"/>
                <c:pt idx="0">
                  <c:v>19.036539387158786</c:v>
                </c:pt>
                <c:pt idx="1">
                  <c:v>19.17299226378855</c:v>
                </c:pt>
                <c:pt idx="2">
                  <c:v>19.232146667221684</c:v>
                </c:pt>
                <c:pt idx="3">
                  <c:v>19.127004107901676</c:v>
                </c:pt>
                <c:pt idx="4">
                  <c:v>19.075338455974038</c:v>
                </c:pt>
                <c:pt idx="5">
                  <c:v>19.032355394042558</c:v>
                </c:pt>
                <c:pt idx="6">
                  <c:v>18.993180050455333</c:v>
                </c:pt>
                <c:pt idx="7">
                  <c:v>18.956312225656312</c:v>
                </c:pt>
                <c:pt idx="8">
                  <c:v>18.92110830213953</c:v>
                </c:pt>
                <c:pt idx="9">
                  <c:v>18.887232224364634</c:v>
                </c:pt>
                <c:pt idx="10">
                  <c:v>18.854482636979935</c:v>
                </c:pt>
                <c:pt idx="11">
                  <c:v>18.822725702161033</c:v>
                </c:pt>
                <c:pt idx="12">
                  <c:v>18.791865015145742</c:v>
                </c:pt>
                <c:pt idx="13">
                  <c:v>18.76182665732121</c:v>
                </c:pt>
                <c:pt idx="14">
                  <c:v>18.73255114618649</c:v>
                </c:pt>
                <c:pt idx="15">
                  <c:v>18.703988807034474</c:v>
                </c:pt>
                <c:pt idx="16">
                  <c:v>18.67609696227784</c:v>
                </c:pt>
                <c:pt idx="17">
                  <c:v>18.648838142358976</c:v>
                </c:pt>
                <c:pt idx="18">
                  <c:v>18.622178898886776</c:v>
                </c:pt>
                <c:pt idx="19">
                  <c:v>18.596088987708193</c:v>
                </c:pt>
                <c:pt idx="20">
                  <c:v>18.57054078758806</c:v>
                </c:pt>
                <c:pt idx="21">
                  <c:v>18.545508873861927</c:v>
                </c:pt>
                <c:pt idx="22">
                  <c:v>18.52096969703513</c:v>
                </c:pt>
                <c:pt idx="23">
                  <c:v>18.4969013343654</c:v>
                </c:pt>
                <c:pt idx="24">
                  <c:v>18.473283293459655</c:v>
                </c:pt>
                <c:pt idx="25">
                  <c:v>18.45009635379248</c:v>
                </c:pt>
                <c:pt idx="26">
                  <c:v>18.427322436461942</c:v>
                </c:pt>
                <c:pt idx="27">
                  <c:v>18.40494449539132</c:v>
                </c:pt>
                <c:pt idx="28">
                  <c:v>18.382946425120636</c:v>
                </c:pt>
                <c:pt idx="29">
                  <c:v>18.36131298165427</c:v>
                </c:pt>
                <c:pt idx="30">
                  <c:v>18.34002971374808</c:v>
                </c:pt>
                <c:pt idx="31">
                  <c:v>18.319082902668733</c:v>
                </c:pt>
                <c:pt idx="32">
                  <c:v>18.2984595089226</c:v>
                </c:pt>
                <c:pt idx="33">
                  <c:v>18.27814712479037</c:v>
                </c:pt>
                <c:pt idx="34">
                  <c:v>18.258133931754085</c:v>
                </c:pt>
                <c:pt idx="35">
                  <c:v>18.23840866208947</c:v>
                </c:pt>
                <c:pt idx="36">
                  <c:v>18.218960564039097</c:v>
                </c:pt>
                <c:pt idx="37">
                  <c:v>18.199779370090106</c:v>
                </c:pt>
                <c:pt idx="38">
                  <c:v>18.180855267964397</c:v>
                </c:pt>
                <c:pt idx="39">
                  <c:v>18.162178873996076</c:v>
                </c:pt>
                <c:pt idx="40">
                  <c:v>18.143741208622295</c:v>
                </c:pt>
                <c:pt idx="41">
                  <c:v>18.125533673756625</c:v>
                </c:pt>
                <c:pt idx="42">
                  <c:v>18.10754803184747</c:v>
                </c:pt>
                <c:pt idx="43">
                  <c:v>18.08977638645163</c:v>
                </c:pt>
                <c:pt idx="44">
                  <c:v>18.072211164176593</c:v>
                </c:pt>
                <c:pt idx="45">
                  <c:v>18.054845097863062</c:v>
                </c:pt>
                <c:pt idx="46">
                  <c:v>18.037671210896107</c:v>
                </c:pt>
                <c:pt idx="47">
                  <c:v>18.020682802545657</c:v>
                </c:pt>
                <c:pt idx="48">
                  <c:v>18.003873434249282</c:v>
                </c:pt>
                <c:pt idx="49">
                  <c:v>17.987236916759063</c:v>
                </c:pt>
                <c:pt idx="50">
                  <c:v>17.970767298083324</c:v>
                </c:pt>
                <c:pt idx="51">
                  <c:v>17.954458852160734</c:v>
                </c:pt>
                <c:pt idx="52">
                  <c:v>17.938306068210725</c:v>
                </c:pt>
                <c:pt idx="53">
                  <c:v>17.92230364070951</c:v>
                </c:pt>
                <c:pt idx="54">
                  <c:v>17.906446459946103</c:v>
                </c:pt>
                <c:pt idx="55">
                  <c:v>17.890729603116217</c:v>
                </c:pt>
                <c:pt idx="56">
                  <c:v>17.875148325916626</c:v>
                </c:pt>
                <c:pt idx="57">
                  <c:v>17.85969805460503</c:v>
                </c:pt>
                <c:pt idx="58">
                  <c:v>17.84437437849396</c:v>
                </c:pt>
                <c:pt idx="59">
                  <c:v>17.8291730428497</c:v>
                </c:pt>
                <c:pt idx="60">
                  <c:v>17.814089942169414</c:v>
                </c:pt>
                <c:pt idx="61">
                  <c:v>17.79912111381231</c:v>
                </c:pt>
                <c:pt idx="62">
                  <c:v>17.784262731961892</c:v>
                </c:pt>
                <c:pt idx="63">
                  <c:v>17.76951110189884</c:v>
                </c:pt>
                <c:pt idx="64">
                  <c:v>17.75486265456496</c:v>
                </c:pt>
                <c:pt idx="65">
                  <c:v>17.740313941400444</c:v>
                </c:pt>
                <c:pt idx="66">
                  <c:v>17.72586162943822</c:v>
                </c:pt>
                <c:pt idx="67">
                  <c:v>17.71150249663957</c:v>
                </c:pt>
                <c:pt idx="68">
                  <c:v>17.697233427457228</c:v>
                </c:pt>
                <c:pt idx="69">
                  <c:v>17.68305140861252</c:v>
                </c:pt>
                <c:pt idx="70">
                  <c:v>17.668953525074155</c:v>
                </c:pt>
                <c:pt idx="71">
                  <c:v>17.654936956227417</c:v>
                </c:pt>
                <c:pt idx="72">
                  <c:v>17.6409989722228</c:v>
                </c:pt>
                <c:pt idx="73">
                  <c:v>17.627136930494284</c:v>
                </c:pt>
                <c:pt idx="74">
                  <c:v>17.613348272437747</c:v>
                </c:pt>
                <c:pt idx="75">
                  <c:v>17.599630520240922</c:v>
                </c:pt>
                <c:pt idx="76">
                  <c:v>17.585981273856618</c:v>
                </c:pt>
                <c:pt idx="77">
                  <c:v>17.57239820811148</c:v>
                </c:pt>
                <c:pt idx="78">
                  <c:v>17.558879069943405</c:v>
                </c:pt>
                <c:pt idx="79">
                  <c:v>17.545421675760434</c:v>
                </c:pt>
                <c:pt idx="80">
                  <c:v>17.53202390891523</c:v>
                </c:pt>
                <c:pt idx="81">
                  <c:v>17.518683717288866</c:v>
                </c:pt>
                <c:pt idx="82">
                  <c:v>17.505399110978495</c:v>
                </c:pt>
                <c:pt idx="83">
                  <c:v>17.49216816008367</c:v>
                </c:pt>
                <c:pt idx="84">
                  <c:v>17.47898899258626</c:v>
                </c:pt>
                <c:pt idx="85">
                  <c:v>17.465859792319456</c:v>
                </c:pt>
                <c:pt idx="86">
                  <c:v>17.452778797021235</c:v>
                </c:pt>
                <c:pt idx="87">
                  <c:v>17.439744296468486</c:v>
                </c:pt>
                <c:pt idx="88">
                  <c:v>17.42675463068756</c:v>
                </c:pt>
                <c:pt idx="89">
                  <c:v>17.413808188237795</c:v>
                </c:pt>
                <c:pt idx="90">
                  <c:v>17.400903404564396</c:v>
                </c:pt>
                <c:pt idx="91">
                  <c:v>17.38803876041748</c:v>
                </c:pt>
                <c:pt idx="92">
                  <c:v>17.375212780334117</c:v>
                </c:pt>
                <c:pt idx="93">
                  <c:v>17.362424031180453</c:v>
                </c:pt>
                <c:pt idx="94">
                  <c:v>17.349671120751143</c:v>
                </c:pt>
                <c:pt idx="95">
                  <c:v>17.336952696423424</c:v>
                </c:pt>
                <c:pt idx="96">
                  <c:v>17.324267443863395</c:v>
                </c:pt>
                <c:pt idx="97">
                  <c:v>17.311614085782068</c:v>
                </c:pt>
                <c:pt idx="98">
                  <c:v>17.29899138073908</c:v>
                </c:pt>
                <c:pt idx="99">
                  <c:v>17.28639812199174</c:v>
                </c:pt>
                <c:pt idx="100">
                  <c:v>17.27383313638765</c:v>
                </c:pt>
                <c:pt idx="101">
                  <c:v>17.26129528329868</c:v>
                </c:pt>
                <c:pt idx="102">
                  <c:v>17.24878345359488</c:v>
                </c:pt>
                <c:pt idx="103">
                  <c:v>17.236296568656165</c:v>
                </c:pt>
                <c:pt idx="104">
                  <c:v>17.223833579420564</c:v>
                </c:pt>
                <c:pt idx="105">
                  <c:v>17.211393465467072</c:v>
                </c:pt>
                <c:pt idx="106">
                  <c:v>17.19897523413194</c:v>
                </c:pt>
                <c:pt idx="107">
                  <c:v>17.18657791965691</c:v>
                </c:pt>
                <c:pt idx="108">
                  <c:v>17.174200582367895</c:v>
                </c:pt>
                <c:pt idx="109">
                  <c:v>17.16184230788304</c:v>
                </c:pt>
                <c:pt idx="110">
                  <c:v>17.149502206348906</c:v>
                </c:pt>
                <c:pt idx="111">
                  <c:v>17.137179411703492</c:v>
                </c:pt>
                <c:pt idx="112">
                  <c:v>17.124873080965166</c:v>
                </c:pt>
                <c:pt idx="113">
                  <c:v>17.112582393546298</c:v>
                </c:pt>
                <c:pt idx="114">
                  <c:v>17.100306550590762</c:v>
                </c:pt>
                <c:pt idx="115">
                  <c:v>17.088044774334136</c:v>
                </c:pt>
                <c:pt idx="116">
                  <c:v>17.075796307486005</c:v>
                </c:pt>
                <c:pt idx="117">
                  <c:v>17.06356041263308</c:v>
                </c:pt>
                <c:pt idx="118">
                  <c:v>17.051336371662668</c:v>
                </c:pt>
                <c:pt idx="119">
                  <c:v>17.039123485205597</c:v>
                </c:pt>
                <c:pt idx="120">
                  <c:v>17.026921072097675</c:v>
                </c:pt>
                <c:pt idx="121">
                  <c:v>17.014728468859193</c:v>
                </c:pt>
                <c:pt idx="122">
                  <c:v>17.00254502919163</c:v>
                </c:pt>
                <c:pt idx="123">
                  <c:v>16.99037012349097</c:v>
                </c:pt>
                <c:pt idx="124">
                  <c:v>16.978203138376976</c:v>
                </c:pt>
                <c:pt idx="125">
                  <c:v>16.96604347623779</c:v>
                </c:pt>
                <c:pt idx="126">
                  <c:v>16.95389055478934</c:v>
                </c:pt>
                <c:pt idx="127">
                  <c:v>16.94174380664895</c:v>
                </c:pt>
                <c:pt idx="128">
                  <c:v>16.92960267892269</c:v>
                </c:pt>
                <c:pt idx="129">
                  <c:v>16.917466632805805</c:v>
                </c:pt>
                <c:pt idx="130">
                  <c:v>16.90533514319596</c:v>
                </c:pt>
                <c:pt idx="131">
                  <c:v>16.89320769831864</c:v>
                </c:pt>
                <c:pt idx="132">
                  <c:v>16.881083799364387</c:v>
                </c:pt>
                <c:pt idx="133">
                  <c:v>16.868962960137395</c:v>
                </c:pt>
                <c:pt idx="134">
                  <c:v>16.856844706714988</c:v>
                </c:pt>
                <c:pt idx="135">
                  <c:v>16.844728577117742</c:v>
                </c:pt>
                <c:pt idx="136">
                  <c:v>16.832614120989792</c:v>
                </c:pt>
                <c:pt idx="137">
                  <c:v>16.820500899288852</c:v>
                </c:pt>
                <c:pt idx="138">
                  <c:v>16.808388483985834</c:v>
                </c:pt>
                <c:pt idx="139">
                  <c:v>16.796276457773526</c:v>
                </c:pt>
                <c:pt idx="140">
                  <c:v>16.78416441378415</c:v>
                </c:pt>
                <c:pt idx="141">
                  <c:v>16.772051955315362</c:v>
                </c:pt>
                <c:pt idx="142">
                  <c:v>16.759938695564582</c:v>
                </c:pt>
                <c:pt idx="143">
                  <c:v>16.74782425737109</c:v>
                </c:pt>
                <c:pt idx="144">
                  <c:v>16.735708272965994</c:v>
                </c:pt>
                <c:pt idx="145">
                  <c:v>16.72359038372943</c:v>
                </c:pt>
                <c:pt idx="146">
                  <c:v>16.711470239955023</c:v>
                </c:pt>
                <c:pt idx="147">
                  <c:v>16.699347500621176</c:v>
                </c:pt>
                <c:pt idx="148">
                  <c:v>16.6872218331691</c:v>
                </c:pt>
                <c:pt idx="149">
                  <c:v>16.675092913287273</c:v>
                </c:pt>
                <c:pt idx="150">
                  <c:v>16.66296042470215</c:v>
                </c:pt>
                <c:pt idx="151">
                  <c:v>16.65082405897486</c:v>
                </c:pt>
                <c:pt idx="152">
                  <c:v>16.63868351530383</c:v>
                </c:pt>
                <c:pt idx="153">
                  <c:v>16.626538500332938</c:v>
                </c:pt>
                <c:pt idx="154">
                  <c:v>16.614388727965213</c:v>
                </c:pt>
                <c:pt idx="155">
                  <c:v>16.602233919181803</c:v>
                </c:pt>
                <c:pt idx="156">
                  <c:v>16.59007380186598</c:v>
                </c:pt>
                <c:pt idx="157">
                  <c:v>16.577908110632187</c:v>
                </c:pt>
                <c:pt idx="158">
                  <c:v>16.565736586659796</c:v>
                </c:pt>
                <c:pt idx="159">
                  <c:v>16.553558977531548</c:v>
                </c:pt>
                <c:pt idx="160">
                  <c:v>16.541375037076442</c:v>
                </c:pt>
                <c:pt idx="161">
                  <c:v>16.529184525217012</c:v>
                </c:pt>
                <c:pt idx="162">
                  <c:v>16.516987207820748</c:v>
                </c:pt>
                <c:pt idx="163">
                  <c:v>16.504782856555646</c:v>
                </c:pt>
                <c:pt idx="164">
                  <c:v>16.492571248749698</c:v>
                </c:pt>
                <c:pt idx="165">
                  <c:v>16.480352167254164</c:v>
                </c:pt>
                <c:pt idx="166">
                  <c:v>16.468125400310594</c:v>
                </c:pt>
                <c:pt idx="167">
                  <c:v>16.455890741421424</c:v>
                </c:pt>
                <c:pt idx="168">
                  <c:v>16.443647989224058</c:v>
                </c:pt>
                <c:pt idx="169">
                  <c:v>16.431396947368302</c:v>
                </c:pt>
                <c:pt idx="170">
                  <c:v>16.419137424397142</c:v>
                </c:pt>
                <c:pt idx="171">
                  <c:v>16.406869233630562</c:v>
                </c:pt>
                <c:pt idx="172">
                  <c:v>16.39459219305259</c:v>
                </c:pt>
                <c:pt idx="173">
                  <c:v>16.3823061252012</c:v>
                </c:pt>
                <c:pt idx="174">
                  <c:v>16.370010857061178</c:v>
                </c:pt>
                <c:pt idx="175">
                  <c:v>16.357706219959812</c:v>
                </c:pt>
                <c:pt idx="176">
                  <c:v>16.34539204946524</c:v>
                </c:pt>
                <c:pt idx="177">
                  <c:v>16.33306818528747</c:v>
                </c:pt>
                <c:pt idx="178">
                  <c:v>16.32073447118198</c:v>
                </c:pt>
                <c:pt idx="179">
                  <c:v>16.308390754855832</c:v>
                </c:pt>
                <c:pt idx="180">
                  <c:v>16.296036887876124</c:v>
                </c:pt>
                <c:pt idx="181">
                  <c:v>16.283672725580864</c:v>
                </c:pt>
                <c:pt idx="182">
                  <c:v>16.271298126992075</c:v>
                </c:pt>
                <c:pt idx="183">
                  <c:v>16.258912954731134</c:v>
                </c:pt>
                <c:pt idx="184">
                  <c:v>16.246517074936293</c:v>
                </c:pt>
                <c:pt idx="185">
                  <c:v>16.234110357182175</c:v>
                </c:pt>
                <c:pt idx="186">
                  <c:v>16.221692674401467</c:v>
                </c:pt>
                <c:pt idx="187">
                  <c:v>16.20926390280841</c:v>
                </c:pt>
                <c:pt idx="188">
                  <c:v>16.196823921824322</c:v>
                </c:pt>
                <c:pt idx="189">
                  <c:v>16.184372614004953</c:v>
                </c:pt>
                <c:pt idx="190">
                  <c:v>16.17190986496959</c:v>
                </c:pt>
                <c:pt idx="191">
                  <c:v>16.159435563332007</c:v>
                </c:pt>
                <c:pt idx="192">
                  <c:v>16.146949600633047</c:v>
                </c:pt>
                <c:pt idx="193">
                  <c:v>16.134451871274898</c:v>
                </c:pt>
                <c:pt idx="194">
                  <c:v>16.121942272457048</c:v>
                </c:pt>
                <c:pt idx="195">
                  <c:v>16.109420704113603</c:v>
                </c:pt>
                <c:pt idx="196">
                  <c:v>16.096887068852418</c:v>
                </c:pt>
                <c:pt idx="197">
                  <c:v>16.084341271895447</c:v>
                </c:pt>
                <c:pt idx="198">
                  <c:v>16.071783221020734</c:v>
                </c:pt>
                <c:pt idx="199">
                  <c:v>16.059212826505668</c:v>
                </c:pt>
                <c:pt idx="200">
                  <c:v>16.046630001071694</c:v>
                </c:pt>
              </c:numCache>
            </c:numRef>
          </c:yVal>
          <c:smooth val="0"/>
        </c:ser>
        <c:ser>
          <c:idx val="4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CapitalistLiberalizatn!$B$234</c:f>
              <c:numCache>
                <c:ptCount val="1"/>
                <c:pt idx="0">
                  <c:v>0.27</c:v>
                </c:pt>
              </c:numCache>
            </c:numRef>
          </c:xVal>
          <c:yVal>
            <c:numRef>
              <c:f>CapitalistLiberalizatn!$D$234</c:f>
              <c:numCache>
                <c:ptCount val="1"/>
                <c:pt idx="0">
                  <c:v>19.232146667221684</c:v>
                </c:pt>
              </c:numCache>
            </c:numRef>
          </c:yVal>
          <c:smooth val="0"/>
        </c:ser>
        <c:axId val="6980256"/>
        <c:axId val="62822305"/>
      </c:scatterChart>
      <c:scatterChart>
        <c:scatterStyle val="lineMarker"/>
        <c:varyColors val="0"/>
        <c:ser>
          <c:idx val="0"/>
          <c:order val="0"/>
          <c:tx>
            <c:v>Lamda(k)  [right scale]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CapitalistLiberalizatn!$B$30:$B$230</c:f>
              <c:numCache>
                <c:ptCount val="201"/>
                <c:pt idx="0">
                  <c:v>0</c:v>
                </c:pt>
                <c:pt idx="1">
                  <c:v>0.135</c:v>
                </c:pt>
                <c:pt idx="2">
                  <c:v>0.27</c:v>
                </c:pt>
                <c:pt idx="3">
                  <c:v>0.405</c:v>
                </c:pt>
                <c:pt idx="4">
                  <c:v>0.54</c:v>
                </c:pt>
                <c:pt idx="5">
                  <c:v>0.675</c:v>
                </c:pt>
                <c:pt idx="6">
                  <c:v>0.81</c:v>
                </c:pt>
                <c:pt idx="7">
                  <c:v>0.9450000000000001</c:v>
                </c:pt>
                <c:pt idx="8">
                  <c:v>1.08</c:v>
                </c:pt>
                <c:pt idx="9">
                  <c:v>1.215</c:v>
                </c:pt>
                <c:pt idx="10">
                  <c:v>1.35</c:v>
                </c:pt>
                <c:pt idx="11">
                  <c:v>1.485</c:v>
                </c:pt>
                <c:pt idx="12">
                  <c:v>1.62</c:v>
                </c:pt>
                <c:pt idx="13">
                  <c:v>1.7550000000000001</c:v>
                </c:pt>
                <c:pt idx="14">
                  <c:v>1.8900000000000001</c:v>
                </c:pt>
                <c:pt idx="15">
                  <c:v>2.0250000000000004</c:v>
                </c:pt>
                <c:pt idx="16">
                  <c:v>2.16</c:v>
                </c:pt>
                <c:pt idx="17">
                  <c:v>2.295</c:v>
                </c:pt>
                <c:pt idx="18">
                  <c:v>2.4299999999999997</c:v>
                </c:pt>
                <c:pt idx="19">
                  <c:v>2.5649999999999995</c:v>
                </c:pt>
                <c:pt idx="20">
                  <c:v>2.6999999999999993</c:v>
                </c:pt>
                <c:pt idx="21">
                  <c:v>2.834999999999999</c:v>
                </c:pt>
                <c:pt idx="22">
                  <c:v>2.969999999999999</c:v>
                </c:pt>
                <c:pt idx="23">
                  <c:v>3.1049999999999986</c:v>
                </c:pt>
                <c:pt idx="24">
                  <c:v>3.2399999999999984</c:v>
                </c:pt>
                <c:pt idx="25">
                  <c:v>3.3749999999999982</c:v>
                </c:pt>
                <c:pt idx="26">
                  <c:v>3.509999999999998</c:v>
                </c:pt>
                <c:pt idx="27">
                  <c:v>3.644999999999998</c:v>
                </c:pt>
                <c:pt idx="28">
                  <c:v>3.7799999999999976</c:v>
                </c:pt>
                <c:pt idx="29">
                  <c:v>3.9149999999999974</c:v>
                </c:pt>
                <c:pt idx="30">
                  <c:v>4.049999999999997</c:v>
                </c:pt>
                <c:pt idx="31">
                  <c:v>4.184999999999997</c:v>
                </c:pt>
                <c:pt idx="32">
                  <c:v>4.319999999999997</c:v>
                </c:pt>
                <c:pt idx="33">
                  <c:v>4.4549999999999965</c:v>
                </c:pt>
                <c:pt idx="34">
                  <c:v>4.589999999999996</c:v>
                </c:pt>
                <c:pt idx="35">
                  <c:v>4.724999999999996</c:v>
                </c:pt>
                <c:pt idx="36">
                  <c:v>4.859999999999996</c:v>
                </c:pt>
                <c:pt idx="37">
                  <c:v>4.994999999999996</c:v>
                </c:pt>
                <c:pt idx="38">
                  <c:v>5.1299999999999955</c:v>
                </c:pt>
                <c:pt idx="39">
                  <c:v>5.264999999999995</c:v>
                </c:pt>
                <c:pt idx="40">
                  <c:v>5.399999999999995</c:v>
                </c:pt>
                <c:pt idx="41">
                  <c:v>5.534999999999995</c:v>
                </c:pt>
                <c:pt idx="42">
                  <c:v>5.669999999999995</c:v>
                </c:pt>
                <c:pt idx="43">
                  <c:v>5.804999999999994</c:v>
                </c:pt>
                <c:pt idx="44">
                  <c:v>5.939999999999994</c:v>
                </c:pt>
                <c:pt idx="45">
                  <c:v>6.074999999999994</c:v>
                </c:pt>
                <c:pt idx="46">
                  <c:v>6.209999999999994</c:v>
                </c:pt>
                <c:pt idx="47">
                  <c:v>6.3449999999999935</c:v>
                </c:pt>
                <c:pt idx="48">
                  <c:v>6.479999999999993</c:v>
                </c:pt>
                <c:pt idx="49">
                  <c:v>6.614999999999993</c:v>
                </c:pt>
                <c:pt idx="50">
                  <c:v>6.749999999999993</c:v>
                </c:pt>
                <c:pt idx="51">
                  <c:v>6.884999999999993</c:v>
                </c:pt>
                <c:pt idx="52">
                  <c:v>7.0199999999999925</c:v>
                </c:pt>
                <c:pt idx="53">
                  <c:v>7.154999999999992</c:v>
                </c:pt>
                <c:pt idx="54">
                  <c:v>7.289999999999992</c:v>
                </c:pt>
                <c:pt idx="55">
                  <c:v>7.424999999999992</c:v>
                </c:pt>
                <c:pt idx="56">
                  <c:v>7.559999999999992</c:v>
                </c:pt>
                <c:pt idx="57">
                  <c:v>7.694999999999991</c:v>
                </c:pt>
                <c:pt idx="58">
                  <c:v>7.829999999999991</c:v>
                </c:pt>
                <c:pt idx="59">
                  <c:v>7.964999999999991</c:v>
                </c:pt>
                <c:pt idx="60">
                  <c:v>8.09999999999999</c:v>
                </c:pt>
                <c:pt idx="61">
                  <c:v>8.23499999999999</c:v>
                </c:pt>
                <c:pt idx="62">
                  <c:v>8.36999999999999</c:v>
                </c:pt>
                <c:pt idx="63">
                  <c:v>8.50499999999999</c:v>
                </c:pt>
                <c:pt idx="64">
                  <c:v>8.63999999999999</c:v>
                </c:pt>
                <c:pt idx="65">
                  <c:v>8.77499999999999</c:v>
                </c:pt>
                <c:pt idx="66">
                  <c:v>8.90999999999999</c:v>
                </c:pt>
                <c:pt idx="67">
                  <c:v>9.04499999999999</c:v>
                </c:pt>
                <c:pt idx="68">
                  <c:v>9.179999999999989</c:v>
                </c:pt>
                <c:pt idx="69">
                  <c:v>9.314999999999989</c:v>
                </c:pt>
                <c:pt idx="70">
                  <c:v>9.449999999999989</c:v>
                </c:pt>
                <c:pt idx="71">
                  <c:v>9.584999999999988</c:v>
                </c:pt>
                <c:pt idx="72">
                  <c:v>9.719999999999988</c:v>
                </c:pt>
                <c:pt idx="73">
                  <c:v>9.854999999999988</c:v>
                </c:pt>
                <c:pt idx="74">
                  <c:v>9.989999999999988</c:v>
                </c:pt>
                <c:pt idx="75">
                  <c:v>10.124999999999988</c:v>
                </c:pt>
                <c:pt idx="76">
                  <c:v>10.259999999999987</c:v>
                </c:pt>
                <c:pt idx="77">
                  <c:v>10.394999999999987</c:v>
                </c:pt>
                <c:pt idx="78">
                  <c:v>10.529999999999987</c:v>
                </c:pt>
                <c:pt idx="79">
                  <c:v>10.664999999999987</c:v>
                </c:pt>
                <c:pt idx="80">
                  <c:v>10.799999999999986</c:v>
                </c:pt>
                <c:pt idx="81">
                  <c:v>10.934999999999986</c:v>
                </c:pt>
                <c:pt idx="82">
                  <c:v>11.069999999999986</c:v>
                </c:pt>
                <c:pt idx="83">
                  <c:v>11.204999999999986</c:v>
                </c:pt>
                <c:pt idx="84">
                  <c:v>11.339999999999986</c:v>
                </c:pt>
                <c:pt idx="85">
                  <c:v>11.474999999999985</c:v>
                </c:pt>
                <c:pt idx="86">
                  <c:v>11.609999999999985</c:v>
                </c:pt>
                <c:pt idx="87">
                  <c:v>11.744999999999985</c:v>
                </c:pt>
                <c:pt idx="88">
                  <c:v>11.879999999999985</c:v>
                </c:pt>
                <c:pt idx="89">
                  <c:v>12.014999999999985</c:v>
                </c:pt>
                <c:pt idx="90">
                  <c:v>12.149999999999984</c:v>
                </c:pt>
                <c:pt idx="91">
                  <c:v>12.284999999999984</c:v>
                </c:pt>
                <c:pt idx="92">
                  <c:v>12.419999999999984</c:v>
                </c:pt>
                <c:pt idx="93">
                  <c:v>12.554999999999984</c:v>
                </c:pt>
                <c:pt idx="94">
                  <c:v>12.689999999999984</c:v>
                </c:pt>
                <c:pt idx="95">
                  <c:v>12.824999999999983</c:v>
                </c:pt>
                <c:pt idx="96">
                  <c:v>12.959999999999983</c:v>
                </c:pt>
                <c:pt idx="97">
                  <c:v>13.094999999999983</c:v>
                </c:pt>
                <c:pt idx="98">
                  <c:v>13.229999999999983</c:v>
                </c:pt>
                <c:pt idx="99">
                  <c:v>13.364999999999982</c:v>
                </c:pt>
                <c:pt idx="100">
                  <c:v>13.499999999999982</c:v>
                </c:pt>
                <c:pt idx="101">
                  <c:v>13.634999999999982</c:v>
                </c:pt>
                <c:pt idx="102">
                  <c:v>13.769999999999982</c:v>
                </c:pt>
                <c:pt idx="103">
                  <c:v>13.904999999999982</c:v>
                </c:pt>
                <c:pt idx="104">
                  <c:v>14.039999999999981</c:v>
                </c:pt>
                <c:pt idx="105">
                  <c:v>14.174999999999981</c:v>
                </c:pt>
                <c:pt idx="106">
                  <c:v>14.309999999999981</c:v>
                </c:pt>
                <c:pt idx="107">
                  <c:v>14.44499999999998</c:v>
                </c:pt>
                <c:pt idx="108">
                  <c:v>14.57999999999998</c:v>
                </c:pt>
                <c:pt idx="109">
                  <c:v>14.71499999999998</c:v>
                </c:pt>
                <c:pt idx="110">
                  <c:v>14.84999999999998</c:v>
                </c:pt>
                <c:pt idx="111">
                  <c:v>14.98499999999998</c:v>
                </c:pt>
                <c:pt idx="112">
                  <c:v>15.11999999999998</c:v>
                </c:pt>
                <c:pt idx="113">
                  <c:v>15.25499999999998</c:v>
                </c:pt>
                <c:pt idx="114">
                  <c:v>15.38999999999998</c:v>
                </c:pt>
                <c:pt idx="115">
                  <c:v>15.524999999999979</c:v>
                </c:pt>
                <c:pt idx="116">
                  <c:v>15.659999999999979</c:v>
                </c:pt>
                <c:pt idx="117">
                  <c:v>15.794999999999979</c:v>
                </c:pt>
                <c:pt idx="118">
                  <c:v>15.929999999999978</c:v>
                </c:pt>
                <c:pt idx="119">
                  <c:v>16.06499999999998</c:v>
                </c:pt>
                <c:pt idx="120">
                  <c:v>16.19999999999998</c:v>
                </c:pt>
                <c:pt idx="121">
                  <c:v>16.334999999999983</c:v>
                </c:pt>
                <c:pt idx="122">
                  <c:v>16.469999999999985</c:v>
                </c:pt>
                <c:pt idx="123">
                  <c:v>16.604999999999986</c:v>
                </c:pt>
                <c:pt idx="124">
                  <c:v>16.739999999999988</c:v>
                </c:pt>
                <c:pt idx="125">
                  <c:v>16.87499999999999</c:v>
                </c:pt>
                <c:pt idx="126">
                  <c:v>17.00999999999999</c:v>
                </c:pt>
                <c:pt idx="127">
                  <c:v>17.144999999999992</c:v>
                </c:pt>
                <c:pt idx="128">
                  <c:v>17.279999999999994</c:v>
                </c:pt>
                <c:pt idx="129">
                  <c:v>17.414999999999996</c:v>
                </c:pt>
                <c:pt idx="130">
                  <c:v>17.549999999999997</c:v>
                </c:pt>
                <c:pt idx="131">
                  <c:v>17.685</c:v>
                </c:pt>
                <c:pt idx="132">
                  <c:v>17.82</c:v>
                </c:pt>
                <c:pt idx="133">
                  <c:v>17.955000000000002</c:v>
                </c:pt>
                <c:pt idx="134">
                  <c:v>18.090000000000003</c:v>
                </c:pt>
                <c:pt idx="135">
                  <c:v>18.225000000000005</c:v>
                </c:pt>
                <c:pt idx="136">
                  <c:v>18.360000000000007</c:v>
                </c:pt>
                <c:pt idx="137">
                  <c:v>18.495000000000008</c:v>
                </c:pt>
                <c:pt idx="138">
                  <c:v>18.63000000000001</c:v>
                </c:pt>
                <c:pt idx="139">
                  <c:v>18.76500000000001</c:v>
                </c:pt>
                <c:pt idx="140">
                  <c:v>18.900000000000013</c:v>
                </c:pt>
                <c:pt idx="141">
                  <c:v>19.035000000000014</c:v>
                </c:pt>
                <c:pt idx="142">
                  <c:v>19.170000000000016</c:v>
                </c:pt>
                <c:pt idx="143">
                  <c:v>19.305000000000017</c:v>
                </c:pt>
                <c:pt idx="144">
                  <c:v>19.44000000000002</c:v>
                </c:pt>
                <c:pt idx="145">
                  <c:v>19.57500000000002</c:v>
                </c:pt>
                <c:pt idx="146">
                  <c:v>19.710000000000022</c:v>
                </c:pt>
                <c:pt idx="147">
                  <c:v>19.845000000000024</c:v>
                </c:pt>
                <c:pt idx="148">
                  <c:v>19.980000000000025</c:v>
                </c:pt>
                <c:pt idx="149">
                  <c:v>20.115000000000027</c:v>
                </c:pt>
                <c:pt idx="150">
                  <c:v>20.25000000000003</c:v>
                </c:pt>
                <c:pt idx="151">
                  <c:v>20.38500000000003</c:v>
                </c:pt>
                <c:pt idx="152">
                  <c:v>20.52000000000003</c:v>
                </c:pt>
                <c:pt idx="153">
                  <c:v>20.655000000000033</c:v>
                </c:pt>
                <c:pt idx="154">
                  <c:v>20.790000000000035</c:v>
                </c:pt>
                <c:pt idx="155">
                  <c:v>20.925000000000036</c:v>
                </c:pt>
                <c:pt idx="156">
                  <c:v>21.060000000000038</c:v>
                </c:pt>
                <c:pt idx="157">
                  <c:v>21.19500000000004</c:v>
                </c:pt>
                <c:pt idx="158">
                  <c:v>21.33000000000004</c:v>
                </c:pt>
                <c:pt idx="159">
                  <c:v>21.465000000000042</c:v>
                </c:pt>
                <c:pt idx="160">
                  <c:v>21.600000000000044</c:v>
                </c:pt>
                <c:pt idx="161">
                  <c:v>21.735000000000046</c:v>
                </c:pt>
                <c:pt idx="162">
                  <c:v>21.870000000000047</c:v>
                </c:pt>
                <c:pt idx="163">
                  <c:v>22.00500000000005</c:v>
                </c:pt>
                <c:pt idx="164">
                  <c:v>22.14000000000005</c:v>
                </c:pt>
                <c:pt idx="165">
                  <c:v>22.275000000000052</c:v>
                </c:pt>
                <c:pt idx="166">
                  <c:v>22.410000000000053</c:v>
                </c:pt>
                <c:pt idx="167">
                  <c:v>22.545000000000055</c:v>
                </c:pt>
                <c:pt idx="168">
                  <c:v>22.680000000000057</c:v>
                </c:pt>
                <c:pt idx="169">
                  <c:v>22.815000000000058</c:v>
                </c:pt>
                <c:pt idx="170">
                  <c:v>22.95000000000006</c:v>
                </c:pt>
                <c:pt idx="171">
                  <c:v>23.08500000000006</c:v>
                </c:pt>
                <c:pt idx="172">
                  <c:v>23.220000000000063</c:v>
                </c:pt>
                <c:pt idx="173">
                  <c:v>23.355000000000064</c:v>
                </c:pt>
                <c:pt idx="174">
                  <c:v>23.490000000000066</c:v>
                </c:pt>
                <c:pt idx="175">
                  <c:v>23.625000000000068</c:v>
                </c:pt>
                <c:pt idx="176">
                  <c:v>23.76000000000007</c:v>
                </c:pt>
                <c:pt idx="177">
                  <c:v>23.89500000000007</c:v>
                </c:pt>
                <c:pt idx="178">
                  <c:v>24.030000000000072</c:v>
                </c:pt>
                <c:pt idx="179">
                  <c:v>24.165000000000074</c:v>
                </c:pt>
                <c:pt idx="180">
                  <c:v>24.300000000000075</c:v>
                </c:pt>
                <c:pt idx="181">
                  <c:v>24.435000000000077</c:v>
                </c:pt>
                <c:pt idx="182">
                  <c:v>24.57000000000008</c:v>
                </c:pt>
                <c:pt idx="183">
                  <c:v>24.70500000000008</c:v>
                </c:pt>
                <c:pt idx="184">
                  <c:v>24.84000000000008</c:v>
                </c:pt>
                <c:pt idx="185">
                  <c:v>24.975000000000083</c:v>
                </c:pt>
                <c:pt idx="186">
                  <c:v>25.110000000000085</c:v>
                </c:pt>
                <c:pt idx="187">
                  <c:v>25.245000000000086</c:v>
                </c:pt>
                <c:pt idx="188">
                  <c:v>25.380000000000088</c:v>
                </c:pt>
                <c:pt idx="189">
                  <c:v>25.51500000000009</c:v>
                </c:pt>
                <c:pt idx="190">
                  <c:v>25.65000000000009</c:v>
                </c:pt>
                <c:pt idx="191">
                  <c:v>25.785000000000093</c:v>
                </c:pt>
                <c:pt idx="192">
                  <c:v>25.920000000000094</c:v>
                </c:pt>
                <c:pt idx="193">
                  <c:v>26.055000000000096</c:v>
                </c:pt>
                <c:pt idx="194">
                  <c:v>26.190000000000097</c:v>
                </c:pt>
                <c:pt idx="195">
                  <c:v>26.3250000000001</c:v>
                </c:pt>
                <c:pt idx="196">
                  <c:v>26.4600000000001</c:v>
                </c:pt>
                <c:pt idx="197">
                  <c:v>26.595000000000102</c:v>
                </c:pt>
                <c:pt idx="198">
                  <c:v>26.730000000000103</c:v>
                </c:pt>
                <c:pt idx="199">
                  <c:v>26.865000000000105</c:v>
                </c:pt>
                <c:pt idx="200">
                  <c:v>27.000000000000107</c:v>
                </c:pt>
              </c:numCache>
            </c:numRef>
          </c:xVal>
          <c:yVal>
            <c:numRef>
              <c:f>CapitalistLiberalizatn!$D$30:$D$230</c:f>
              <c:numCache>
                <c:ptCount val="201"/>
                <c:pt idx="0">
                  <c:v>0</c:v>
                </c:pt>
                <c:pt idx="1">
                  <c:v>0</c:v>
                </c:pt>
                <c:pt idx="2">
                  <c:v>0.003853239487682818</c:v>
                </c:pt>
                <c:pt idx="3">
                  <c:v>0.01617851719421276</c:v>
                </c:pt>
                <c:pt idx="4">
                  <c:v>0.02560212105278983</c:v>
                </c:pt>
                <c:pt idx="5">
                  <c:v>0.03445616193521082</c:v>
                </c:pt>
                <c:pt idx="6">
                  <c:v>0.04299789097013042</c:v>
                </c:pt>
                <c:pt idx="7">
                  <c:v>0.05130871759366758</c:v>
                </c:pt>
                <c:pt idx="8">
                  <c:v>0.05942528493655075</c:v>
                </c:pt>
                <c:pt idx="9">
                  <c:v>0.0673680719629264</c:v>
                </c:pt>
                <c:pt idx="10">
                  <c:v>0.07515040787863571</c:v>
                </c:pt>
                <c:pt idx="11">
                  <c:v>0.08278198106623395</c:v>
                </c:pt>
                <c:pt idx="12">
                  <c:v>0.090270414470888</c:v>
                </c:pt>
                <c:pt idx="13">
                  <c:v>0.09762205154906244</c:v>
                </c:pt>
                <c:pt idx="14">
                  <c:v>0.10484238222009129</c:v>
                </c:pt>
                <c:pt idx="15">
                  <c:v>0.11193628997326346</c:v>
                </c:pt>
                <c:pt idx="16">
                  <c:v>0.11890820378008844</c:v>
                </c:pt>
                <c:pt idx="17">
                  <c:v>0.12576219634738336</c:v>
                </c:pt>
                <c:pt idx="18">
                  <c:v>0.13250205060874862</c:v>
                </c:pt>
                <c:pt idx="19">
                  <c:v>0.13913130659739967</c:v>
                </c:pt>
                <c:pt idx="20">
                  <c:v>0.1456532957330406</c:v>
                </c:pt>
                <c:pt idx="21">
                  <c:v>0.15207116675333962</c:v>
                </c:pt>
                <c:pt idx="22">
                  <c:v>0.15838790592207094</c:v>
                </c:pt>
                <c:pt idx="23">
                  <c:v>0.16460635320176206</c:v>
                </c:pt>
                <c:pt idx="24">
                  <c:v>0.17072921550335152</c:v>
                </c:pt>
                <c:pt idx="25">
                  <c:v>0.17675907776491726</c:v>
                </c:pt>
                <c:pt idx="26">
                  <c:v>0.1826984123799908</c:v>
                </c:pt>
                <c:pt idx="27">
                  <c:v>0.18854958734364702</c:v>
                </c:pt>
                <c:pt idx="28">
                  <c:v>0.19431487338230558</c:v>
                </c:pt>
                <c:pt idx="29">
                  <c:v>0.1999964502630578</c:v>
                </c:pt>
                <c:pt idx="30">
                  <c:v>0.2055964124294355</c:v>
                </c:pt>
                <c:pt idx="31">
                  <c:v>0.2111167740757551</c:v>
                </c:pt>
                <c:pt idx="32">
                  <c:v>0.21655947374708542</c:v>
                </c:pt>
                <c:pt idx="33">
                  <c:v>0.2219263785334655</c:v>
                </c:pt>
                <c:pt idx="34">
                  <c:v>0.2272192879132554</c:v>
                </c:pt>
                <c:pt idx="35">
                  <c:v>0.23243993729017934</c:v>
                </c:pt>
                <c:pt idx="36">
                  <c:v>0.23759000126062735</c:v>
                </c:pt>
                <c:pt idx="37">
                  <c:v>0.24267109664164363</c:v>
                </c:pt>
                <c:pt idx="38">
                  <c:v>0.2476847852851849</c:v>
                </c:pt>
                <c:pt idx="39">
                  <c:v>0.2526325767003392</c:v>
                </c:pt>
                <c:pt idx="40">
                  <c:v>0.25751593050214394</c:v>
                </c:pt>
                <c:pt idx="41">
                  <c:v>0.2623362587030616</c:v>
                </c:pt>
                <c:pt idx="42">
                  <c:v>0.2670949278611287</c:v>
                </c:pt>
                <c:pt idx="43">
                  <c:v>0.2717932610970682</c:v>
                </c:pt>
                <c:pt idx="44">
                  <c:v>0.2764325399911855</c:v>
                </c:pt>
                <c:pt idx="45">
                  <c:v>0.28101400636968826</c:v>
                </c:pt>
                <c:pt idx="46">
                  <c:v>0.2855388639889926</c:v>
                </c:pt>
                <c:pt idx="47">
                  <c:v>0.29000828012571933</c:v>
                </c:pt>
                <c:pt idx="48">
                  <c:v>0.29442338707929383</c:v>
                </c:pt>
                <c:pt idx="49">
                  <c:v>0.2987852835934081</c:v>
                </c:pt>
                <c:pt idx="50">
                  <c:v>0.3030950362020104</c:v>
                </c:pt>
                <c:pt idx="51">
                  <c:v>0.3073536805049798</c:v>
                </c:pt>
                <c:pt idx="52">
                  <c:v>0.3115622223781909</c:v>
                </c:pt>
                <c:pt idx="53">
                  <c:v>0.31572163912227</c:v>
                </c:pt>
                <c:pt idx="54">
                  <c:v>0.3198328805539751</c:v>
                </c:pt>
                <c:pt idx="55">
                  <c:v>0.32389687004384166</c:v>
                </c:pt>
                <c:pt idx="56">
                  <c:v>0.3279145055034105</c:v>
                </c:pt>
                <c:pt idx="57">
                  <c:v>0.3318866603251279</c:v>
                </c:pt>
                <c:pt idx="58">
                  <c:v>0.33581418427775195</c:v>
                </c:pt>
                <c:pt idx="59">
                  <c:v>0.339697904359898</c:v>
                </c:pt>
                <c:pt idx="60">
                  <c:v>0.3435386256141716</c:v>
                </c:pt>
                <c:pt idx="61">
                  <c:v>0.34733713190413834</c:v>
                </c:pt>
                <c:pt idx="62">
                  <c:v>0.35109418665624603</c:v>
                </c:pt>
                <c:pt idx="63">
                  <c:v>0.3548105335686551</c:v>
                </c:pt>
                <c:pt idx="64">
                  <c:v>0.3584868972888</c:v>
                </c:pt>
                <c:pt idx="65">
                  <c:v>0.3621239840613945</c:v>
                </c:pt>
                <c:pt idx="66">
                  <c:v>0.3657224823484543</c:v>
                </c:pt>
                <c:pt idx="67">
                  <c:v>0.36928306342284256</c:v>
                </c:pt>
                <c:pt idx="68">
                  <c:v>0.3728063819367175</c:v>
                </c:pt>
                <c:pt idx="69">
                  <c:v>0.3762930764661872</c:v>
                </c:pt>
                <c:pt idx="70">
                  <c:v>0.37974377003340015</c:v>
                </c:pt>
                <c:pt idx="71">
                  <c:v>0.3831590706072081</c:v>
                </c:pt>
                <c:pt idx="72">
                  <c:v>0.3865395715834853</c:v>
                </c:pt>
                <c:pt idx="73">
                  <c:v>0.3898858522461113</c:v>
                </c:pt>
                <c:pt idx="74">
                  <c:v>0.3931984782095717</c:v>
                </c:pt>
                <c:pt idx="75">
                  <c:v>0.3964780018440699</c:v>
                </c:pt>
                <c:pt idx="76">
                  <c:v>0.39972496268399244</c:v>
                </c:pt>
                <c:pt idx="77">
                  <c:v>0.4029398878205308</c:v>
                </c:pt>
                <c:pt idx="78">
                  <c:v>0.4061232922791935</c:v>
                </c:pt>
                <c:pt idx="79">
                  <c:v>0.40927567938293274</c:v>
                </c:pt>
                <c:pt idx="80">
                  <c:v>0.41239754110154053</c:v>
                </c:pt>
                <c:pt idx="81">
                  <c:v>0.4154893583879544</c:v>
                </c:pt>
                <c:pt idx="82">
                  <c:v>0.41855160150206416</c:v>
                </c:pt>
                <c:pt idx="83">
                  <c:v>0.4215847303225831</c:v>
                </c:pt>
                <c:pt idx="84">
                  <c:v>0.4245891946475232</c:v>
                </c:pt>
                <c:pt idx="85">
                  <c:v>0.42756543448377377</c:v>
                </c:pt>
                <c:pt idx="86">
                  <c:v>0.43051388032626814</c:v>
                </c:pt>
                <c:pt idx="87">
                  <c:v>0.433434953427187</c:v>
                </c:pt>
                <c:pt idx="88">
                  <c:v>0.43632906605563404</c:v>
                </c:pt>
                <c:pt idx="89">
                  <c:v>0.4391966217481894</c:v>
                </c:pt>
                <c:pt idx="90">
                  <c:v>0.44203801555073097</c:v>
                </c:pt>
                <c:pt idx="91">
                  <c:v>0.44485363425188995</c:v>
                </c:pt>
                <c:pt idx="92">
                  <c:v>0.4476438566084912</c:v>
                </c:pt>
                <c:pt idx="93">
                  <c:v>0.4504090535633133</c:v>
                </c:pt>
                <c:pt idx="94">
                  <c:v>0.4531495884554816</c:v>
                </c:pt>
                <c:pt idx="95">
                  <c:v>0.45586581722379743</c:v>
                </c:pt>
                <c:pt idx="96">
                  <c:v>0.458558088603289</c:v>
                </c:pt>
                <c:pt idx="97">
                  <c:v>0.46122674431525734</c:v>
                </c:pt>
                <c:pt idx="98">
                  <c:v>0.46387211925107713</c:v>
                </c:pt>
                <c:pt idx="99">
                  <c:v>0.4664945416499994</c:v>
                </c:pt>
                <c:pt idx="100">
                  <c:v>0.46909433327119193</c:v>
                </c:pt>
                <c:pt idx="101">
                  <c:v>0.4716718095602478</c:v>
                </c:pt>
                <c:pt idx="102">
                  <c:v>0.47422727981036455</c:v>
                </c:pt>
                <c:pt idx="103">
                  <c:v>0.4767610473184142</c:v>
                </c:pt>
                <c:pt idx="104">
                  <c:v>0.47927340953608544</c:v>
                </c:pt>
                <c:pt idx="105">
                  <c:v>0.4817646582162989</c:v>
                </c:pt>
                <c:pt idx="106">
                  <c:v>0.4842350795550619</c:v>
                </c:pt>
                <c:pt idx="107">
                  <c:v>0.4866849543289367</c:v>
                </c:pt>
                <c:pt idx="108">
                  <c:v>0.48911455802829323</c:v>
                </c:pt>
                <c:pt idx="109">
                  <c:v>0.49152416098649127</c:v>
                </c:pt>
                <c:pt idx="110">
                  <c:v>0.4939140285051451</c:v>
                </c:pt>
                <c:pt idx="111">
                  <c:v>0.49628442097561826</c:v>
                </c:pt>
                <c:pt idx="112">
                  <c:v>0.498635593996876</c:v>
                </c:pt>
                <c:pt idx="113">
                  <c:v>0.5009677984898372</c:v>
                </c:pt>
                <c:pt idx="114">
                  <c:v>0.5032812808083394</c:v>
                </c:pt>
                <c:pt idx="115">
                  <c:v>0.5055762828468472</c:v>
                </c:pt>
                <c:pt idx="116">
                  <c:v>0.5078530421450106</c:v>
                </c:pt>
                <c:pt idx="117">
                  <c:v>0.5101117919891921</c:v>
                </c:pt>
                <c:pt idx="118">
                  <c:v>0.5123527615110616</c:v>
                </c:pt>
                <c:pt idx="119">
                  <c:v>0.5145761757833608</c:v>
                </c:pt>
                <c:pt idx="120">
                  <c:v>0.5167822559129407</c:v>
                </c:pt>
                <c:pt idx="121">
                  <c:v>0.5189712191311584</c:v>
                </c:pt>
                <c:pt idx="122">
                  <c:v>0.5211432788817278</c:v>
                </c:pt>
                <c:pt idx="123">
                  <c:v>0.5232986449061063</c:v>
                </c:pt>
                <c:pt idx="124">
                  <c:v>0.5254375233265032</c:v>
                </c:pt>
                <c:pt idx="125">
                  <c:v>0.5275601167265891</c:v>
                </c:pt>
                <c:pt idx="126">
                  <c:v>0.5296666242299809</c:v>
                </c:pt>
                <c:pt idx="127">
                  <c:v>0.531757241576577</c:v>
                </c:pt>
                <c:pt idx="128">
                  <c:v>0.5338321611968112</c:v>
                </c:pt>
                <c:pt idx="129">
                  <c:v>0.5358915722838986</c:v>
                </c:pt>
                <c:pt idx="130">
                  <c:v>0.5379356608641311</c:v>
                </c:pt>
                <c:pt idx="131">
                  <c:v>0.5399646098652919</c:v>
                </c:pt>
                <c:pt idx="132">
                  <c:v>0.5419785991832446</c:v>
                </c:pt>
                <c:pt idx="133">
                  <c:v>0.5439778057467575</c:v>
                </c:pt>
                <c:pt idx="134">
                  <c:v>0.5459624035806208</c:v>
                </c:pt>
                <c:pt idx="135">
                  <c:v>0.5479325638671054</c:v>
                </c:pt>
                <c:pt idx="136">
                  <c:v>0.549888455005819</c:v>
                </c:pt>
                <c:pt idx="137">
                  <c:v>0.55183024267201</c:v>
                </c:pt>
                <c:pt idx="138">
                  <c:v>0.553758089873366</c:v>
                </c:pt>
                <c:pt idx="139">
                  <c:v>0.5556721570053512</c:v>
                </c:pt>
                <c:pt idx="140">
                  <c:v>0.5575726019051319</c:v>
                </c:pt>
                <c:pt idx="141">
                  <c:v>0.5594595799041309</c:v>
                </c:pt>
                <c:pt idx="142">
                  <c:v>0.561333243879251</c:v>
                </c:pt>
                <c:pt idx="143">
                  <c:v>0.5631937443028121</c:v>
                </c:pt>
                <c:pt idx="144">
                  <c:v>0.5650412292912346</c:v>
                </c:pt>
                <c:pt idx="145">
                  <c:v>0.5668758446525118</c:v>
                </c:pt>
                <c:pt idx="146">
                  <c:v>0.5686977339325054</c:v>
                </c:pt>
                <c:pt idx="147">
                  <c:v>0.5705070384600982</c:v>
                </c:pt>
                <c:pt idx="148">
                  <c:v>0.5723038973912374</c:v>
                </c:pt>
                <c:pt idx="149">
                  <c:v>0.5740884477519042</c:v>
                </c:pt>
                <c:pt idx="150">
                  <c:v>0.5758608244800355</c:v>
                </c:pt>
                <c:pt idx="151">
                  <c:v>0.5776211604664352</c:v>
                </c:pt>
                <c:pt idx="152">
                  <c:v>0.5793695865946954</c:v>
                </c:pt>
                <c:pt idx="153">
                  <c:v>0.5811062317801655</c:v>
                </c:pt>
                <c:pt idx="154">
                  <c:v>0.5828312230079887</c:v>
                </c:pt>
                <c:pt idx="155">
                  <c:v>0.5845446853702354</c:v>
                </c:pt>
                <c:pt idx="156">
                  <c:v>0.5862467421021611</c:v>
                </c:pt>
                <c:pt idx="157">
                  <c:v>0.5879375146176099</c:v>
                </c:pt>
                <c:pt idx="158">
                  <c:v>0.5896171225435888</c:v>
                </c:pt>
                <c:pt idx="159">
                  <c:v>0.5912856837540373</c:v>
                </c:pt>
                <c:pt idx="160">
                  <c:v>0.5929433144028124</c:v>
                </c:pt>
                <c:pt idx="161">
                  <c:v>0.5945901289559121</c:v>
                </c:pt>
                <c:pt idx="162">
                  <c:v>0.5962262402229588</c:v>
                </c:pt>
                <c:pt idx="163">
                  <c:v>0.5978517593879605</c:v>
                </c:pt>
                <c:pt idx="164">
                  <c:v>0.5994667960393726</c:v>
                </c:pt>
                <c:pt idx="165">
                  <c:v>0.6010714581994766</c:v>
                </c:pt>
                <c:pt idx="166">
                  <c:v>0.6026658523530959</c:v>
                </c:pt>
                <c:pt idx="167">
                  <c:v>0.6042500834756659</c:v>
                </c:pt>
                <c:pt idx="168">
                  <c:v>0.6058242550606744</c:v>
                </c:pt>
                <c:pt idx="169">
                  <c:v>0.6073884691464924</c:v>
                </c:pt>
                <c:pt idx="170">
                  <c:v>0.6089428263426071</c:v>
                </c:pt>
                <c:pt idx="171">
                  <c:v>0.6104874258552775</c:v>
                </c:pt>
                <c:pt idx="172">
                  <c:v>0.6120223655126225</c:v>
                </c:pt>
                <c:pt idx="173">
                  <c:v>0.6135477417891625</c:v>
                </c:pt>
                <c:pt idx="174">
                  <c:v>0.6150636498298235</c:v>
                </c:pt>
                <c:pt idx="175">
                  <c:v>0.6165701834734194</c:v>
                </c:pt>
                <c:pt idx="176">
                  <c:v>0.6180674352756268</c:v>
                </c:pt>
                <c:pt idx="177">
                  <c:v>0.6195554965314658</c:v>
                </c:pt>
                <c:pt idx="178">
                  <c:v>0.6210344572972973</c:v>
                </c:pt>
                <c:pt idx="179">
                  <c:v>0.6225044064123486</c:v>
                </c:pt>
                <c:pt idx="180">
                  <c:v>0.623965431519785</c:v>
                </c:pt>
                <c:pt idx="181">
                  <c:v>0.6254176190873303</c:v>
                </c:pt>
                <c:pt idx="182">
                  <c:v>0.6268610544274558</c:v>
                </c:pt>
                <c:pt idx="183">
                  <c:v>0.6282958217171425</c:v>
                </c:pt>
                <c:pt idx="184">
                  <c:v>0.6297220040172292</c:v>
                </c:pt>
                <c:pt idx="185">
                  <c:v>0.6311396832913607</c:v>
                </c:pt>
                <c:pt idx="186">
                  <c:v>0.6325489404245362</c:v>
                </c:pt>
                <c:pt idx="187">
                  <c:v>0.6339498552412812</c:v>
                </c:pt>
                <c:pt idx="188">
                  <c:v>0.6353425065234386</c:v>
                </c:pt>
                <c:pt idx="189">
                  <c:v>0.6367269720275976</c:v>
                </c:pt>
                <c:pt idx="190">
                  <c:v>0.6381033285021676</c:v>
                </c:pt>
                <c:pt idx="191">
                  <c:v>0.6394716517041003</c:v>
                </c:pt>
                <c:pt idx="192">
                  <c:v>0.6408320164152768</c:v>
                </c:pt>
                <c:pt idx="193">
                  <c:v>0.6421844964585607</c:v>
                </c:pt>
                <c:pt idx="194">
                  <c:v>0.6435291647135281</c:v>
                </c:pt>
                <c:pt idx="195">
                  <c:v>0.6448660931318851</c:v>
                </c:pt>
                <c:pt idx="196">
                  <c:v>0.646195352752573</c:v>
                </c:pt>
                <c:pt idx="197">
                  <c:v>0.647517013716576</c:v>
                </c:pt>
                <c:pt idx="198">
                  <c:v>0.6488311452814338</c:v>
                </c:pt>
                <c:pt idx="199">
                  <c:v>0.6501378158354688</c:v>
                </c:pt>
                <c:pt idx="200">
                  <c:v>0.6514370929117311</c:v>
                </c:pt>
              </c:numCache>
            </c:numRef>
          </c:yVal>
          <c:smooth val="0"/>
        </c:ser>
        <c:ser>
          <c:idx val="3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CapitalistLiberalizatn!$B$234</c:f>
              <c:numCache>
                <c:ptCount val="1"/>
                <c:pt idx="0">
                  <c:v>0.27</c:v>
                </c:pt>
              </c:numCache>
            </c:numRef>
          </c:xVal>
          <c:yVal>
            <c:numRef>
              <c:f>CapitalistLiberalizatn!$C$234</c:f>
              <c:numCache>
                <c:ptCount val="1"/>
                <c:pt idx="0">
                  <c:v>0.003853239487682818</c:v>
                </c:pt>
              </c:numCache>
            </c:numRef>
          </c:yVal>
          <c:smooth val="0"/>
        </c:ser>
        <c:axId val="28529834"/>
        <c:axId val="55441915"/>
      </c:scatterChart>
      <c:valAx>
        <c:axId val="6980256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k, capitalist investment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822305"/>
        <c:crosses val="autoZero"/>
        <c:crossBetween val="midCat"/>
        <c:dispUnits/>
      </c:valAx>
      <c:valAx>
        <c:axId val="62822305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6980256"/>
        <c:crosses val="autoZero"/>
        <c:crossBetween val="midCat"/>
        <c:dispUnits/>
      </c:valAx>
      <c:valAx>
        <c:axId val="28529834"/>
        <c:scaling>
          <c:orientation val="minMax"/>
        </c:scaling>
        <c:axPos val="b"/>
        <c:delete val="1"/>
        <c:majorTickMark val="in"/>
        <c:minorTickMark val="none"/>
        <c:tickLblPos val="nextTo"/>
        <c:crossAx val="55441915"/>
        <c:crosses val="max"/>
        <c:crossBetween val="midCat"/>
        <c:dispUnits/>
      </c:valAx>
      <c:valAx>
        <c:axId val="55441915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</a:defRPr>
            </a:pPr>
          </a:p>
        </c:txPr>
        <c:crossAx val="28529834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2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3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22475"/>
          <c:y val="0"/>
          <c:w val="0.603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0.16425</cdr:x>
      <cdr:y>0</cdr:y>
    </cdr:from>
    <cdr:to>
      <cdr:x>0.52825</cdr:x>
      <cdr:y>0.093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0" y="0"/>
          <a:ext cx="17049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Leader's cost, V(u)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0.161</cdr:x>
      <cdr:y>0</cdr:y>
    </cdr:from>
    <cdr:to>
      <cdr:x>0.57425</cdr:x>
      <cdr:y>0.093</cdr:y>
    </cdr:to>
    <cdr:sp>
      <cdr:nvSpPr>
        <cdr:cNvPr id="1" name="TextBox 1"/>
        <cdr:cNvSpPr txBox="1">
          <a:spLocks noChangeArrowheads="1"/>
        </cdr:cNvSpPr>
      </cdr:nvSpPr>
      <cdr:spPr>
        <a:xfrm>
          <a:off x="752475" y="0"/>
          <a:ext cx="19431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25" b="0" i="0" u="none" baseline="0"/>
            <a:t>Leader's cost, V(G)-K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0.16325</cdr:x>
      <cdr:y>0</cdr:y>
    </cdr:from>
    <cdr:to>
      <cdr:x>0.654</cdr:x>
      <cdr:y>0.0925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0" y="0"/>
          <a:ext cx="23050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Stationary cumulative probability, F(u)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21</xdr:row>
      <xdr:rowOff>19050</xdr:rowOff>
    </xdr:from>
    <xdr:to>
      <xdr:col>22</xdr:col>
      <xdr:colOff>657225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10382250" y="3629025"/>
        <a:ext cx="469582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19050</xdr:colOff>
      <xdr:row>49</xdr:row>
      <xdr:rowOff>9525</xdr:rowOff>
    </xdr:from>
    <xdr:to>
      <xdr:col>22</xdr:col>
      <xdr:colOff>657225</xdr:colOff>
      <xdr:row>62</xdr:row>
      <xdr:rowOff>133350</xdr:rowOff>
    </xdr:to>
    <xdr:graphicFrame>
      <xdr:nvGraphicFramePr>
        <xdr:cNvPr id="2" name="Chart 2"/>
        <xdr:cNvGraphicFramePr/>
      </xdr:nvGraphicFramePr>
      <xdr:xfrm>
        <a:off x="10382250" y="8420100"/>
        <a:ext cx="4695825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9525</xdr:colOff>
      <xdr:row>35</xdr:row>
      <xdr:rowOff>19050</xdr:rowOff>
    </xdr:from>
    <xdr:to>
      <xdr:col>22</xdr:col>
      <xdr:colOff>657225</xdr:colOff>
      <xdr:row>48</xdr:row>
      <xdr:rowOff>142875</xdr:rowOff>
    </xdr:to>
    <xdr:graphicFrame>
      <xdr:nvGraphicFramePr>
        <xdr:cNvPr id="3" name="Chart 3"/>
        <xdr:cNvGraphicFramePr/>
      </xdr:nvGraphicFramePr>
      <xdr:xfrm>
        <a:off x="10372725" y="6029325"/>
        <a:ext cx="4705350" cy="2352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11</xdr:row>
      <xdr:rowOff>9525</xdr:rowOff>
    </xdr:from>
    <xdr:to>
      <xdr:col>16</xdr:col>
      <xdr:colOff>190500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8010525" y="1895475"/>
        <a:ext cx="358140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28575</xdr:colOff>
      <xdr:row>0</xdr:row>
      <xdr:rowOff>0</xdr:rowOff>
    </xdr:from>
    <xdr:to>
      <xdr:col>16</xdr:col>
      <xdr:colOff>180975</xdr:colOff>
      <xdr:row>10</xdr:row>
      <xdr:rowOff>161925</xdr:rowOff>
    </xdr:to>
    <xdr:graphicFrame>
      <xdr:nvGraphicFramePr>
        <xdr:cNvPr id="2" name="Chart 2"/>
        <xdr:cNvGraphicFramePr/>
      </xdr:nvGraphicFramePr>
      <xdr:xfrm>
        <a:off x="8001000" y="0"/>
        <a:ext cx="358140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0</xdr:row>
      <xdr:rowOff>38100</xdr:rowOff>
    </xdr:from>
    <xdr:to>
      <xdr:col>17</xdr:col>
      <xdr:colOff>628650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5657850" y="38100"/>
        <a:ext cx="52863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9525</xdr:rowOff>
    </xdr:from>
    <xdr:to>
      <xdr:col>11</xdr:col>
      <xdr:colOff>628650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4533900" y="9525"/>
        <a:ext cx="33051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4"/>
  <sheetViews>
    <sheetView workbookViewId="0" topLeftCell="A1">
      <selection activeCell="A1" sqref="A1"/>
    </sheetView>
  </sheetViews>
  <sheetFormatPr defaultColWidth="9.00390625" defaultRowHeight="13.5"/>
  <cols>
    <col min="1" max="1" width="2.875" style="0" customWidth="1"/>
    <col min="2" max="16384" width="8.875" style="0" customWidth="1"/>
  </cols>
  <sheetData>
    <row r="1" spans="1:11" ht="13.5">
      <c r="A1" t="s">
        <v>0</v>
      </c>
      <c r="K1" s="40" t="s">
        <v>618</v>
      </c>
    </row>
    <row r="2" spans="2:17" ht="13.5">
      <c r="B2" s="2">
        <v>5</v>
      </c>
      <c r="C2" t="s">
        <v>9</v>
      </c>
      <c r="D2" s="1" t="s">
        <v>2</v>
      </c>
      <c r="P2" s="41">
        <v>5</v>
      </c>
      <c r="Q2" s="42" t="s">
        <v>564</v>
      </c>
    </row>
    <row r="3" spans="2:17" ht="13.5">
      <c r="B3" s="4">
        <v>0.05</v>
      </c>
      <c r="C3" t="s">
        <v>3</v>
      </c>
      <c r="D3" s="1" t="s">
        <v>418</v>
      </c>
      <c r="P3" s="41">
        <v>0.05</v>
      </c>
      <c r="Q3" s="42" t="s">
        <v>565</v>
      </c>
    </row>
    <row r="4" spans="2:17" ht="13.5">
      <c r="B4" s="4">
        <v>0.1</v>
      </c>
      <c r="C4" t="s">
        <v>4</v>
      </c>
      <c r="D4" s="1" t="s">
        <v>566</v>
      </c>
      <c r="P4" s="41">
        <v>0.2</v>
      </c>
      <c r="Q4" s="42" t="s">
        <v>619</v>
      </c>
    </row>
    <row r="5" spans="2:17" ht="13.5">
      <c r="B5" s="4">
        <v>0.3</v>
      </c>
      <c r="C5" t="s">
        <v>5</v>
      </c>
      <c r="D5" s="1" t="s">
        <v>567</v>
      </c>
      <c r="P5" s="41">
        <v>0.4</v>
      </c>
      <c r="Q5" s="42" t="s">
        <v>424</v>
      </c>
    </row>
    <row r="6" spans="2:17" ht="13.5">
      <c r="B6" s="5">
        <v>1</v>
      </c>
      <c r="C6" t="s">
        <v>6</v>
      </c>
      <c r="D6" s="1" t="s">
        <v>568</v>
      </c>
      <c r="P6" s="41">
        <v>1</v>
      </c>
      <c r="Q6" s="42" t="s">
        <v>424</v>
      </c>
    </row>
    <row r="7" spans="2:17" ht="13.5">
      <c r="B7" s="43" t="s">
        <v>421</v>
      </c>
      <c r="C7">
        <f>B6/(B5-B4)</f>
        <v>5</v>
      </c>
      <c r="D7" s="1" t="s">
        <v>569</v>
      </c>
      <c r="P7" s="42" t="s">
        <v>421</v>
      </c>
      <c r="Q7" s="42" t="s">
        <v>570</v>
      </c>
    </row>
    <row r="8" spans="2:17" ht="13.5">
      <c r="B8" s="1" t="s">
        <v>421</v>
      </c>
      <c r="C8">
        <f>B2+C7</f>
        <v>10</v>
      </c>
      <c r="D8" s="1" t="s">
        <v>571</v>
      </c>
      <c r="P8" s="42" t="s">
        <v>421</v>
      </c>
      <c r="Q8" s="42" t="s">
        <v>570</v>
      </c>
    </row>
    <row r="9" spans="2:17" ht="13.5">
      <c r="B9" s="2">
        <v>1</v>
      </c>
      <c r="C9" t="s">
        <v>7</v>
      </c>
      <c r="D9" s="1" t="s">
        <v>572</v>
      </c>
      <c r="P9" s="41">
        <v>1</v>
      </c>
      <c r="Q9" s="42" t="s">
        <v>573</v>
      </c>
    </row>
    <row r="10" spans="2:17" ht="13.5">
      <c r="B10" s="5">
        <v>25</v>
      </c>
      <c r="C10" s="3" t="s">
        <v>574</v>
      </c>
      <c r="D10" s="1" t="s">
        <v>575</v>
      </c>
      <c r="P10" s="41">
        <v>20</v>
      </c>
      <c r="Q10" s="42" t="s">
        <v>620</v>
      </c>
    </row>
    <row r="11" spans="3:4" ht="13.5">
      <c r="C11">
        <f>ROW(A122)-ROW(A22)</f>
        <v>100</v>
      </c>
      <c r="D11" t="s">
        <v>576</v>
      </c>
    </row>
    <row r="12" spans="3:4" ht="13.5">
      <c r="C12">
        <f>-INT(-C11*C7/(B10-C8))</f>
        <v>34</v>
      </c>
      <c r="D12" s="1" t="s">
        <v>577</v>
      </c>
    </row>
    <row r="13" spans="3:4" ht="13.5">
      <c r="C13">
        <f>C7/C12</f>
        <v>0.14705882352941177</v>
      </c>
      <c r="D13" s="1" t="s">
        <v>578</v>
      </c>
    </row>
    <row r="14" spans="2:12" ht="13.5">
      <c r="B14">
        <f>B122</f>
        <v>24.705882352941178</v>
      </c>
      <c r="C14" t="s">
        <v>579</v>
      </c>
      <c r="D14" s="1" t="s">
        <v>580</v>
      </c>
      <c r="K14">
        <f>B14-B10</f>
        <v>-0.2941176470588225</v>
      </c>
      <c r="L14" t="s">
        <v>581</v>
      </c>
    </row>
    <row r="15" spans="2:4" ht="13.5">
      <c r="B15">
        <f>(1-$B$9/$C$8)/$D$123</f>
        <v>10.478451266210298</v>
      </c>
      <c r="C15" s="1" t="s">
        <v>582</v>
      </c>
      <c r="D15" s="1" t="s">
        <v>583</v>
      </c>
    </row>
    <row r="16" spans="3:17" ht="13.5">
      <c r="C16">
        <f>SUMPRODUCT(B22:B122,I22:I122)</f>
        <v>23.397806953798366</v>
      </c>
      <c r="D16" s="1" t="s">
        <v>584</v>
      </c>
      <c r="P16">
        <f>B14-B4*C7^2/(B3*C8)</f>
        <v>19.705882352941178</v>
      </c>
      <c r="Q16" s="1" t="s">
        <v>585</v>
      </c>
    </row>
    <row r="17" spans="3:18" ht="13.5">
      <c r="C17">
        <f>I122</f>
        <v>0.6776281774372584</v>
      </c>
      <c r="D17" s="1" t="s">
        <v>586</v>
      </c>
      <c r="I17">
        <f>C17*(B3*B14+B4*C7)</f>
        <v>1.175884190258772</v>
      </c>
      <c r="J17" s="1" t="s">
        <v>587</v>
      </c>
      <c r="P17" s="6">
        <f>B3*C8/(B3*C8+B4*C7)</f>
        <v>0.5</v>
      </c>
      <c r="Q17" s="6">
        <f>P16*B3/(B3*B14+B4*C7)</f>
        <v>0.5677966101694916</v>
      </c>
      <c r="R17" s="1" t="s">
        <v>589</v>
      </c>
    </row>
    <row r="18" spans="3:18" ht="13.5">
      <c r="C18">
        <f>SUMPRODUCT(I22:I122,J22:J122)</f>
        <v>0.0003623461520597241</v>
      </c>
      <c r="D18" s="1" t="s">
        <v>590</v>
      </c>
      <c r="M18" s="44"/>
      <c r="Q18" s="38">
        <f>MIN(C16-P16,C17-P17,C17-Q17)</f>
        <v>0.10983156726776688</v>
      </c>
      <c r="R18" s="38" t="s">
        <v>591</v>
      </c>
    </row>
    <row r="19" spans="2:13" ht="13.5">
      <c r="B19" s="1" t="s">
        <v>592</v>
      </c>
      <c r="C19" s="1" t="s">
        <v>621</v>
      </c>
      <c r="D19" s="1" t="s">
        <v>622</v>
      </c>
      <c r="E19" s="1" t="s">
        <v>593</v>
      </c>
      <c r="F19" s="1" t="s">
        <v>421</v>
      </c>
      <c r="K19" s="38" t="s">
        <v>588</v>
      </c>
      <c r="M19" s="44"/>
    </row>
    <row r="20" spans="1:12" ht="13.5">
      <c r="A20" s="7"/>
      <c r="B20" s="24">
        <v>0</v>
      </c>
      <c r="C20" s="24">
        <v>1</v>
      </c>
      <c r="D20" s="24">
        <v>0</v>
      </c>
      <c r="E20">
        <f aca="true" t="shared" si="0" ref="E20:E51">B20*$B$9/$C$8+$B$15*C20</f>
        <v>10.478451266210298</v>
      </c>
      <c r="F20" s="49" t="s">
        <v>623</v>
      </c>
      <c r="K20" s="45">
        <f>MAX(K22:K122)</f>
        <v>3.8746783559417963E-14</v>
      </c>
      <c r="L20" s="45">
        <f>MAX(L22:L122)</f>
        <v>1.6479873021779667E-16</v>
      </c>
    </row>
    <row r="21" spans="1:12" ht="14.25" thickBot="1">
      <c r="A21" s="46"/>
      <c r="B21" s="47">
        <f>B22</f>
        <v>10</v>
      </c>
      <c r="C21" s="47">
        <v>1</v>
      </c>
      <c r="D21" s="47">
        <v>0</v>
      </c>
      <c r="E21">
        <f t="shared" si="0"/>
        <v>11.478451266210298</v>
      </c>
      <c r="F21" s="7" t="s">
        <v>582</v>
      </c>
      <c r="G21" s="3" t="s">
        <v>597</v>
      </c>
      <c r="H21" s="1" t="s">
        <v>595</v>
      </c>
      <c r="I21" s="3" t="s">
        <v>596</v>
      </c>
      <c r="J21" s="3" t="s">
        <v>598</v>
      </c>
      <c r="K21" s="45">
        <f>MIN(K22:K122)</f>
        <v>-3.8746783559417963E-14</v>
      </c>
      <c r="L21" s="45">
        <f>MIN(L22:L122)</f>
        <v>-0.00012013077307959641</v>
      </c>
    </row>
    <row r="22" spans="1:12" ht="13.5">
      <c r="A22" s="7" t="s">
        <v>1</v>
      </c>
      <c r="B22" s="24">
        <f>C8</f>
        <v>10</v>
      </c>
      <c r="C22" s="24">
        <f>C21</f>
        <v>1</v>
      </c>
      <c r="D22" s="6">
        <f aca="true" ca="1" t="shared" si="1" ref="D22:D53">(($B$3+$B$4)*C22-$B$4*IF(B22-$C$8&gt;$C$7,OFFSET(C22,-$C$12,0),$C$21))/($B$3*B22+$B$4*$C$7)</f>
        <v>0.05000000000000002</v>
      </c>
      <c r="E22">
        <f t="shared" si="0"/>
        <v>11.478451266210298</v>
      </c>
      <c r="F22">
        <f aca="true" t="shared" si="2" ref="F22:F53">(1-$B$9/$C$8)/D22</f>
        <v>17.999999999999993</v>
      </c>
      <c r="G22">
        <f aca="true" ca="1" t="shared" si="3" ref="G22:G53">G23+$C$13*$B$4*(G23-IF(B23+$C$7&gt;$B$122,0,OFFSET(G23,$C$12,0)))/($B$3*B23+$B$4*$C$7)</f>
        <v>1.475735563095869</v>
      </c>
      <c r="H22">
        <f aca="true" t="shared" si="4" ref="H22:H53">1-G22/$G$22</f>
        <v>0</v>
      </c>
      <c r="I22">
        <f aca="true" t="shared" si="5" ref="I22:I53">H23-H22</f>
        <v>0.00026218814637690713</v>
      </c>
      <c r="J22">
        <f aca="true" t="shared" si="6" ref="J22:J53">$B$4*MAX($B$22+$C$7-B22,0)/($B$22-$B$20)</f>
        <v>0.05</v>
      </c>
      <c r="K22" s="48">
        <f aca="true" ca="1" t="shared" si="7" ref="K22:K53">(E23-E22)/(B23-B22)-(($B$3+$B$4)*E22-$B$4*IF(B22-$C$7&gt;$C$8,OFFSET(E22,-$C$12,0),$B$15+$B$9*(B22-$C$7)/$C$8))/($B$3*B22+$B$4*$C$7)</f>
        <v>-2.9976021664879227E-15</v>
      </c>
      <c r="L22" s="48">
        <f aca="true" ca="1" t="shared" si="8" ref="L22:L53">-$C$13*$B$4*(H23-IF(B23+$C$7&gt;$B$122,1,OFFSET(H23,$C$12,0)))/($B$3*B23+$B$4*$C$7)-I22</f>
        <v>-6.315477654728063E-17</v>
      </c>
    </row>
    <row r="23" spans="2:12" ht="13.5">
      <c r="B23">
        <f aca="true" t="shared" si="9" ref="B23:B54">$B$22+$C$13*(ROW()-ROW($B$22))</f>
        <v>10.147058823529411</v>
      </c>
      <c r="C23" s="6">
        <f aca="true" t="shared" si="10" ref="C23:C54">C22+$C$13*D22</f>
        <v>1.0073529411764706</v>
      </c>
      <c r="D23" s="6">
        <f ca="1" t="shared" si="1"/>
        <v>0.05072992700729929</v>
      </c>
      <c r="E23">
        <f t="shared" si="0"/>
        <v>11.570204584344197</v>
      </c>
      <c r="F23">
        <f t="shared" si="2"/>
        <v>17.7410071942446</v>
      </c>
      <c r="G23">
        <f ca="1" t="shared" si="3"/>
        <v>1.4753486427240385</v>
      </c>
      <c r="H23">
        <f t="shared" si="4"/>
        <v>0.00026218814637690713</v>
      </c>
      <c r="I23">
        <f t="shared" si="5"/>
        <v>0.00027201210519023356</v>
      </c>
      <c r="J23">
        <f t="shared" si="6"/>
        <v>0.04852941176470589</v>
      </c>
      <c r="K23" s="48">
        <f ca="1" t="shared" si="7"/>
        <v>-5.10702591327572E-15</v>
      </c>
      <c r="L23" s="48">
        <f ca="1" t="shared" si="8"/>
        <v>6.76000054544712E-17</v>
      </c>
    </row>
    <row r="24" spans="2:12" ht="13.5">
      <c r="B24">
        <f t="shared" si="9"/>
        <v>10.294117647058824</v>
      </c>
      <c r="C24" s="6">
        <f t="shared" si="10"/>
        <v>1.0148132245598969</v>
      </c>
      <c r="D24" s="6">
        <f ca="1" t="shared" si="1"/>
        <v>0.05146514334073839</v>
      </c>
      <c r="E24">
        <f t="shared" si="0"/>
        <v>11.66308268256249</v>
      </c>
      <c r="F24">
        <f t="shared" si="2"/>
        <v>17.487564234326825</v>
      </c>
      <c r="G24">
        <f ca="1" t="shared" si="3"/>
        <v>1.4749472247868167</v>
      </c>
      <c r="H24">
        <f t="shared" si="4"/>
        <v>0.0005342002515671407</v>
      </c>
      <c r="I24">
        <f t="shared" si="5"/>
        <v>0.00028267163601114476</v>
      </c>
      <c r="J24">
        <f t="shared" si="6"/>
        <v>0.04705882352941176</v>
      </c>
      <c r="K24" s="48">
        <f ca="1" t="shared" si="7"/>
        <v>2.220446049250313E-15</v>
      </c>
      <c r="L24" s="48">
        <f ca="1" t="shared" si="8"/>
        <v>3.2526065174565133E-18</v>
      </c>
    </row>
    <row r="25" spans="2:12" ht="13.5">
      <c r="B25">
        <f t="shared" si="9"/>
        <v>10.441176470588236</v>
      </c>
      <c r="C25" s="6">
        <f t="shared" si="10"/>
        <v>1.0223816279923583</v>
      </c>
      <c r="D25" s="6">
        <f ca="1" t="shared" si="1"/>
        <v>0.05220564900031736</v>
      </c>
      <c r="E25">
        <f t="shared" si="0"/>
        <v>11.757093711445497</v>
      </c>
      <c r="F25">
        <f t="shared" si="2"/>
        <v>17.23951367781155</v>
      </c>
      <c r="G25">
        <f ca="1" t="shared" si="3"/>
        <v>1.4745300762008766</v>
      </c>
      <c r="H25">
        <f t="shared" si="4"/>
        <v>0.0008168718875782854</v>
      </c>
      <c r="I25">
        <f t="shared" si="5"/>
        <v>0.0002940927478943811</v>
      </c>
      <c r="J25">
        <f t="shared" si="6"/>
        <v>0.045588235294117645</v>
      </c>
      <c r="K25" s="48">
        <f ca="1" t="shared" si="7"/>
        <v>-1.554312234475219E-14</v>
      </c>
      <c r="L25" s="48">
        <f ca="1" t="shared" si="8"/>
        <v>-1.1058862159352145E-17</v>
      </c>
    </row>
    <row r="26" spans="2:12" ht="13.5">
      <c r="B26">
        <f t="shared" si="9"/>
        <v>10.588235294117647</v>
      </c>
      <c r="C26" s="6">
        <f t="shared" si="10"/>
        <v>1.0300589293159343</v>
      </c>
      <c r="D26" s="6">
        <f ca="1" t="shared" si="1"/>
        <v>0.05295144398603618</v>
      </c>
      <c r="E26">
        <f t="shared" si="0"/>
        <v>11.85224582157354</v>
      </c>
      <c r="F26">
        <f t="shared" si="2"/>
        <v>16.99670362601139</v>
      </c>
      <c r="G26">
        <f ca="1" t="shared" si="3"/>
        <v>1.4740960730739603</v>
      </c>
      <c r="H26">
        <f t="shared" si="4"/>
        <v>0.0011109646354726666</v>
      </c>
      <c r="I26">
        <f t="shared" si="5"/>
        <v>0.00030620616820564717</v>
      </c>
      <c r="J26">
        <f t="shared" si="6"/>
        <v>0.04411764705882353</v>
      </c>
      <c r="K26" s="48">
        <f ca="1" t="shared" si="7"/>
        <v>9.769962616701378E-15</v>
      </c>
      <c r="L26" s="48">
        <f ca="1" t="shared" si="8"/>
        <v>7.800834631033204E-17</v>
      </c>
    </row>
    <row r="27" spans="2:12" ht="13.5">
      <c r="B27">
        <f t="shared" si="9"/>
        <v>10.735294117647058</v>
      </c>
      <c r="C27" s="6">
        <f t="shared" si="10"/>
        <v>1.0378459063727044</v>
      </c>
      <c r="D27" s="6">
        <f ca="1" t="shared" si="1"/>
        <v>0.05370252829789484</v>
      </c>
      <c r="E27">
        <f t="shared" si="0"/>
        <v>11.948547163526944</v>
      </c>
      <c r="F27">
        <f t="shared" si="2"/>
        <v>16.75898749138186</v>
      </c>
      <c r="G27">
        <f ca="1" t="shared" si="3"/>
        <v>1.4736441937418998</v>
      </c>
      <c r="H27">
        <f t="shared" si="4"/>
        <v>0.0014171708036783137</v>
      </c>
      <c r="I27">
        <f t="shared" si="5"/>
        <v>0.0003189470507720671</v>
      </c>
      <c r="J27">
        <f t="shared" si="6"/>
        <v>0.04264705882352942</v>
      </c>
      <c r="K27" s="48">
        <f ca="1" t="shared" si="7"/>
        <v>-2.9976021664879227E-15</v>
      </c>
      <c r="L27" s="48">
        <f ca="1" t="shared" si="8"/>
        <v>-5.941427905220564E-17</v>
      </c>
    </row>
    <row r="28" spans="2:12" ht="13.5">
      <c r="B28">
        <f t="shared" si="9"/>
        <v>10.882352941176471</v>
      </c>
      <c r="C28" s="6">
        <f t="shared" si="10"/>
        <v>1.0457433370047478</v>
      </c>
      <c r="D28" s="6">
        <f ca="1" t="shared" si="1"/>
        <v>0.05445890193589335</v>
      </c>
      <c r="E28">
        <f t="shared" si="0"/>
        <v>12.046005887886029</v>
      </c>
      <c r="F28">
        <f t="shared" si="2"/>
        <v>16.52622377622378</v>
      </c>
      <c r="G28">
        <f ca="1" t="shared" si="3"/>
        <v>1.473173512236331</v>
      </c>
      <c r="H28">
        <f t="shared" si="4"/>
        <v>0.0017361178544503808</v>
      </c>
      <c r="I28">
        <f t="shared" si="5"/>
        <v>0.0003322547027956313</v>
      </c>
      <c r="J28">
        <f t="shared" si="6"/>
        <v>0.041176470588235294</v>
      </c>
      <c r="K28" s="48">
        <f ca="1" t="shared" si="7"/>
        <v>-4.884981308350689E-15</v>
      </c>
      <c r="L28" s="48">
        <f ca="1" t="shared" si="8"/>
        <v>1.0793232627093197E-16</v>
      </c>
    </row>
    <row r="29" spans="2:12" ht="13.5">
      <c r="B29">
        <f t="shared" si="9"/>
        <v>11.029411764705882</v>
      </c>
      <c r="C29" s="6">
        <f t="shared" si="10"/>
        <v>1.0537519990541437</v>
      </c>
      <c r="D29" s="6">
        <f ca="1" t="shared" si="1"/>
        <v>0.0552205649000317</v>
      </c>
      <c r="E29">
        <f t="shared" si="0"/>
        <v>12.144630145231114</v>
      </c>
      <c r="F29">
        <f t="shared" si="2"/>
        <v>16.298275862068976</v>
      </c>
      <c r="G29">
        <f ca="1" t="shared" si="3"/>
        <v>1.4726831921554095</v>
      </c>
      <c r="H29">
        <f t="shared" si="4"/>
        <v>0.002068372557246012</v>
      </c>
      <c r="I29">
        <f t="shared" si="5"/>
        <v>0.0003460723292523227</v>
      </c>
      <c r="J29">
        <f t="shared" si="6"/>
        <v>0.03970588235294118</v>
      </c>
      <c r="K29" s="48">
        <f ca="1" t="shared" si="7"/>
        <v>3.774758283725532E-15</v>
      </c>
      <c r="L29" s="48">
        <f ca="1" t="shared" si="8"/>
        <v>6.01732205729455E-17</v>
      </c>
    </row>
    <row r="30" spans="2:12" ht="13.5">
      <c r="B30">
        <f t="shared" si="9"/>
        <v>11.176470588235293</v>
      </c>
      <c r="C30" s="6">
        <f t="shared" si="10"/>
        <v>1.061872670362972</v>
      </c>
      <c r="D30" s="6">
        <f ca="1" t="shared" si="1"/>
        <v>0.05598751719030994</v>
      </c>
      <c r="E30">
        <f t="shared" si="0"/>
        <v>12.244428086142523</v>
      </c>
      <c r="F30">
        <f t="shared" si="2"/>
        <v>16.075011809163914</v>
      </c>
      <c r="G30">
        <f ca="1" t="shared" si="3"/>
        <v>1.4721724809117285</v>
      </c>
      <c r="H30">
        <f t="shared" si="4"/>
        <v>0.0024144448864983348</v>
      </c>
      <c r="I30">
        <f t="shared" si="5"/>
        <v>0.0003603467935821003</v>
      </c>
      <c r="J30">
        <f t="shared" si="6"/>
        <v>0.03823529411764707</v>
      </c>
      <c r="K30" s="48">
        <f ca="1" t="shared" si="7"/>
        <v>-1.3433698597964394E-14</v>
      </c>
      <c r="L30" s="48">
        <f ca="1" t="shared" si="8"/>
        <v>-1.2636376320318554E-16</v>
      </c>
    </row>
    <row r="31" spans="2:12" ht="13.5">
      <c r="B31">
        <f t="shared" si="9"/>
        <v>11.323529411764707</v>
      </c>
      <c r="C31" s="6">
        <f t="shared" si="10"/>
        <v>1.0701061287733116</v>
      </c>
      <c r="D31" s="6">
        <f ca="1" t="shared" si="1"/>
        <v>0.05675975880672798</v>
      </c>
      <c r="E31">
        <f t="shared" si="0"/>
        <v>12.345407861200577</v>
      </c>
      <c r="F31">
        <f t="shared" si="2"/>
        <v>15.856304165501829</v>
      </c>
      <c r="G31">
        <f ca="1" t="shared" si="3"/>
        <v>1.471640704333392</v>
      </c>
      <c r="H31">
        <f t="shared" si="4"/>
        <v>0.002774791680080435</v>
      </c>
      <c r="I31">
        <f t="shared" si="5"/>
        <v>0.00037502839357328455</v>
      </c>
      <c r="J31">
        <f t="shared" si="6"/>
        <v>0.036764705882352935</v>
      </c>
      <c r="K31" s="48">
        <f ca="1" t="shared" si="7"/>
        <v>4.884981308350689E-15</v>
      </c>
      <c r="L31" s="48">
        <f ca="1" t="shared" si="8"/>
        <v>-7.643625316022806E-18</v>
      </c>
    </row>
    <row r="32" spans="2:12" ht="13.5">
      <c r="B32">
        <f t="shared" si="9"/>
        <v>11.470588235294118</v>
      </c>
      <c r="C32" s="6">
        <f t="shared" si="10"/>
        <v>1.0784531521272422</v>
      </c>
      <c r="D32" s="6">
        <f ca="1" t="shared" si="1"/>
        <v>0.057537289749285916</v>
      </c>
      <c r="E32">
        <f t="shared" si="0"/>
        <v>12.4475776209856</v>
      </c>
      <c r="F32">
        <f t="shared" si="2"/>
        <v>15.642029784886935</v>
      </c>
      <c r="G32">
        <f ca="1" t="shared" si="3"/>
        <v>1.471087261595825</v>
      </c>
      <c r="H32">
        <f t="shared" si="4"/>
        <v>0.0031498200736537196</v>
      </c>
      <c r="I32">
        <f t="shared" si="5"/>
        <v>0.0003900706514181618</v>
      </c>
      <c r="J32">
        <f t="shared" si="6"/>
        <v>0.03529411764705882</v>
      </c>
      <c r="K32" s="48">
        <f ca="1" t="shared" si="7"/>
        <v>9.103828801926284E-15</v>
      </c>
      <c r="L32" s="48">
        <f ca="1" t="shared" si="8"/>
        <v>1.0115606269289756E-16</v>
      </c>
    </row>
    <row r="33" spans="2:12" ht="13.5">
      <c r="B33">
        <f t="shared" si="9"/>
        <v>11.617647058823529</v>
      </c>
      <c r="C33" s="6">
        <f t="shared" si="10"/>
        <v>1.0869145182668432</v>
      </c>
      <c r="D33" s="6">
        <f ca="1" t="shared" si="1"/>
        <v>0.05832011001798368</v>
      </c>
      <c r="E33">
        <f t="shared" si="0"/>
        <v>12.550945516077912</v>
      </c>
      <c r="F33">
        <f t="shared" si="2"/>
        <v>15.432069653546172</v>
      </c>
      <c r="G33">
        <f ca="1" t="shared" si="3"/>
        <v>1.4705116204634072</v>
      </c>
      <c r="H33">
        <f t="shared" si="4"/>
        <v>0.0035398907250718814</v>
      </c>
      <c r="I33">
        <f t="shared" si="5"/>
        <v>0.00040543011698823683</v>
      </c>
      <c r="J33">
        <f t="shared" si="6"/>
        <v>0.03382352941176471</v>
      </c>
      <c r="K33" s="48">
        <f ca="1" t="shared" si="7"/>
        <v>-1.2878587085651816E-14</v>
      </c>
      <c r="L33" s="48">
        <f ca="1" t="shared" si="8"/>
        <v>-7.952622935181175E-17</v>
      </c>
    </row>
    <row r="34" spans="2:12" ht="13.5">
      <c r="B34">
        <f t="shared" si="9"/>
        <v>11.764705882352942</v>
      </c>
      <c r="C34" s="6">
        <f t="shared" si="10"/>
        <v>1.0954910050341937</v>
      </c>
      <c r="D34" s="6">
        <f ca="1" t="shared" si="1"/>
        <v>0.05910821961282131</v>
      </c>
      <c r="E34">
        <f t="shared" si="0"/>
        <v>12.655519697057832</v>
      </c>
      <c r="F34">
        <f t="shared" si="2"/>
        <v>15.226308724832219</v>
      </c>
      <c r="G34">
        <f ca="1" t="shared" si="3"/>
        <v>1.4699133128214177</v>
      </c>
      <c r="H34">
        <f t="shared" si="4"/>
        <v>0.003945320842060118</v>
      </c>
      <c r="I34">
        <f t="shared" si="5"/>
        <v>0.0004210661834500584</v>
      </c>
      <c r="J34">
        <f t="shared" si="6"/>
        <v>0.032352941176470584</v>
      </c>
      <c r="K34" s="48">
        <f ca="1" t="shared" si="7"/>
        <v>1.3211653993039363E-14</v>
      </c>
      <c r="L34" s="48">
        <f ca="1" t="shared" si="8"/>
        <v>5.816744655384731E-17</v>
      </c>
    </row>
    <row r="35" spans="2:12" ht="13.5">
      <c r="B35">
        <f t="shared" si="9"/>
        <v>11.911764705882353</v>
      </c>
      <c r="C35" s="6">
        <f t="shared" si="10"/>
        <v>1.1041833902713734</v>
      </c>
      <c r="D35" s="6">
        <f ca="1" t="shared" si="1"/>
        <v>0.059901618533798766</v>
      </c>
      <c r="E35">
        <f t="shared" si="0"/>
        <v>12.761308314505687</v>
      </c>
      <c r="F35">
        <f t="shared" si="2"/>
        <v>15.024635761589412</v>
      </c>
      <c r="G35">
        <f ca="1" t="shared" si="3"/>
        <v>1.4692919304800833</v>
      </c>
      <c r="H35">
        <f t="shared" si="4"/>
        <v>0.004366387025510177</v>
      </c>
      <c r="I35">
        <f t="shared" si="5"/>
        <v>0.0004369409144061587</v>
      </c>
      <c r="J35">
        <f t="shared" si="6"/>
        <v>0.030882352941176472</v>
      </c>
      <c r="K35" s="48">
        <f ca="1" t="shared" si="7"/>
        <v>8.881784197001252E-16</v>
      </c>
      <c r="L35" s="48">
        <f ca="1" t="shared" si="8"/>
        <v>4.8843307870471975E-17</v>
      </c>
    </row>
    <row r="36" spans="2:12" ht="13.5">
      <c r="B36">
        <f t="shared" si="9"/>
        <v>12.058823529411764</v>
      </c>
      <c r="C36" s="6">
        <f t="shared" si="10"/>
        <v>1.1129924518204615</v>
      </c>
      <c r="D36" s="6">
        <f ca="1" t="shared" si="1"/>
        <v>0.06070030678091611</v>
      </c>
      <c r="E36">
        <f t="shared" si="0"/>
        <v>12.868319519001794</v>
      </c>
      <c r="F36">
        <f t="shared" si="2"/>
        <v>14.826943185779017</v>
      </c>
      <c r="G36">
        <f ca="1" t="shared" si="3"/>
        <v>1.4686471212337224</v>
      </c>
      <c r="H36">
        <f t="shared" si="4"/>
        <v>0.004803327939916335</v>
      </c>
      <c r="I36">
        <f t="shared" si="5"/>
        <v>0.00045301888179427596</v>
      </c>
      <c r="J36">
        <f t="shared" si="6"/>
        <v>0.029411764705882353</v>
      </c>
      <c r="K36" s="48">
        <f ca="1" t="shared" si="7"/>
        <v>-1.3322676295501878E-15</v>
      </c>
      <c r="L36" s="48">
        <f ca="1" t="shared" si="8"/>
        <v>3.604972223514302E-17</v>
      </c>
    </row>
    <row r="37" spans="2:12" ht="13.5">
      <c r="B37">
        <f t="shared" si="9"/>
        <v>12.205882352941178</v>
      </c>
      <c r="C37" s="6">
        <f t="shared" si="10"/>
        <v>1.1219189675235373</v>
      </c>
      <c r="D37" s="6">
        <f ca="1" t="shared" si="1"/>
        <v>0.061504284354173266</v>
      </c>
      <c r="E37">
        <f t="shared" si="0"/>
        <v>12.976561461126478</v>
      </c>
      <c r="F37">
        <f t="shared" si="2"/>
        <v>14.633126934984523</v>
      </c>
      <c r="G37">
        <f ca="1" t="shared" si="3"/>
        <v>1.4679785851591047</v>
      </c>
      <c r="H37">
        <f t="shared" si="4"/>
        <v>0.005256346821710611</v>
      </c>
      <c r="I37">
        <f t="shared" si="5"/>
        <v>0.00046926701384397695</v>
      </c>
      <c r="J37">
        <f t="shared" si="6"/>
        <v>0.027941176470588226</v>
      </c>
      <c r="K37" s="48">
        <f ca="1" t="shared" si="7"/>
        <v>-3.6637359812630166E-15</v>
      </c>
      <c r="L37" s="48">
        <f ca="1" t="shared" si="8"/>
        <v>-7.318364664277155E-18</v>
      </c>
    </row>
    <row r="38" spans="2:12" ht="13.5">
      <c r="B38">
        <f t="shared" si="9"/>
        <v>12.352941176470589</v>
      </c>
      <c r="C38" s="6">
        <f t="shared" si="10"/>
        <v>1.1309637152226804</v>
      </c>
      <c r="D38" s="6">
        <f ca="1" t="shared" si="1"/>
        <v>0.06231355125357028</v>
      </c>
      <c r="E38">
        <f t="shared" si="0"/>
        <v>13.086042291460057</v>
      </c>
      <c r="F38">
        <f t="shared" si="2"/>
        <v>14.443086325439271</v>
      </c>
      <c r="G38">
        <f ca="1" t="shared" si="3"/>
        <v>1.4672860711381874</v>
      </c>
      <c r="H38">
        <f t="shared" si="4"/>
        <v>0.005725613835554588</v>
      </c>
      <c r="I38">
        <f t="shared" si="5"/>
        <v>0.00048565445242976235</v>
      </c>
      <c r="J38">
        <f t="shared" si="6"/>
        <v>0.026470588235294114</v>
      </c>
      <c r="K38" s="48">
        <f ca="1" t="shared" si="7"/>
        <v>4.218847493575595E-15</v>
      </c>
      <c r="L38" s="48">
        <f ca="1" t="shared" si="8"/>
        <v>-6.505213034913027E-19</v>
      </c>
    </row>
    <row r="39" spans="2:12" ht="13.5">
      <c r="B39">
        <f t="shared" si="9"/>
        <v>12.5</v>
      </c>
      <c r="C39" s="6">
        <f t="shared" si="10"/>
        <v>1.1401274727599702</v>
      </c>
      <c r="D39" s="6">
        <f ca="1" t="shared" si="1"/>
        <v>0.06312810747910715</v>
      </c>
      <c r="E39">
        <f t="shared" si="0"/>
        <v>13.196770160582856</v>
      </c>
      <c r="F39">
        <f t="shared" si="2"/>
        <v>14.256723921240054</v>
      </c>
      <c r="G39">
        <f ca="1" t="shared" si="3"/>
        <v>1.466569373591361</v>
      </c>
      <c r="H39">
        <f t="shared" si="4"/>
        <v>0.006211268287984351</v>
      </c>
      <c r="I39">
        <f t="shared" si="5"/>
        <v>0.0005021524192105886</v>
      </c>
      <c r="J39">
        <f t="shared" si="6"/>
        <v>0.025</v>
      </c>
      <c r="K39" s="48">
        <f ca="1" t="shared" si="7"/>
        <v>6.217248937900877E-15</v>
      </c>
      <c r="L39" s="48">
        <f ca="1" t="shared" si="8"/>
        <v>-5.767955557622884E-17</v>
      </c>
    </row>
    <row r="40" spans="2:12" ht="13.5">
      <c r="B40">
        <f t="shared" si="9"/>
        <v>12.647058823529411</v>
      </c>
      <c r="C40" s="6">
        <f t="shared" si="10"/>
        <v>1.149411017977486</v>
      </c>
      <c r="D40" s="6">
        <f ca="1" t="shared" si="1"/>
        <v>0.06394795303078388</v>
      </c>
      <c r="E40">
        <f t="shared" si="0"/>
        <v>13.308753219075196</v>
      </c>
      <c r="F40">
        <f t="shared" si="2"/>
        <v>14.073945409429282</v>
      </c>
      <c r="G40">
        <f ca="1" t="shared" si="3"/>
        <v>1.4658283294082373</v>
      </c>
      <c r="H40">
        <f t="shared" si="4"/>
        <v>0.006713420707194939</v>
      </c>
      <c r="I40">
        <f t="shared" si="5"/>
        <v>0.0005187340899851511</v>
      </c>
      <c r="J40">
        <f t="shared" si="6"/>
        <v>0.02352941176470589</v>
      </c>
      <c r="K40" s="48">
        <f ca="1" t="shared" si="7"/>
        <v>-1.865174681370263E-14</v>
      </c>
      <c r="L40" s="48">
        <f ca="1" t="shared" si="8"/>
        <v>2.656295322589486E-17</v>
      </c>
    </row>
    <row r="41" spans="2:12" ht="13.5">
      <c r="B41">
        <f t="shared" si="9"/>
        <v>12.794117647058824</v>
      </c>
      <c r="C41" s="6">
        <f t="shared" si="10"/>
        <v>1.158815128717307</v>
      </c>
      <c r="D41" s="6">
        <f ca="1" t="shared" si="1"/>
        <v>0.06477308790860041</v>
      </c>
      <c r="E41">
        <f t="shared" si="0"/>
        <v>13.421999617517397</v>
      </c>
      <c r="F41">
        <f t="shared" si="2"/>
        <v>13.89465948064675</v>
      </c>
      <c r="G41">
        <f ca="1" t="shared" si="3"/>
        <v>1.465062815063856</v>
      </c>
      <c r="H41">
        <f t="shared" si="4"/>
        <v>0.00723215479718009</v>
      </c>
      <c r="I41">
        <f t="shared" si="5"/>
        <v>0.0005353744767349067</v>
      </c>
      <c r="J41">
        <f t="shared" si="6"/>
        <v>0.02205882352941176</v>
      </c>
      <c r="K41" s="48">
        <f ca="1" t="shared" si="7"/>
        <v>1.84297022087776E-14</v>
      </c>
      <c r="L41" s="48">
        <f ca="1" t="shared" si="8"/>
        <v>4.9873299934333204E-17</v>
      </c>
    </row>
    <row r="42" spans="2:12" ht="13.5">
      <c r="B42">
        <f t="shared" si="9"/>
        <v>12.941176470588236</v>
      </c>
      <c r="C42" s="6">
        <f t="shared" si="10"/>
        <v>1.168340582821513</v>
      </c>
      <c r="D42" s="6">
        <f ca="1" t="shared" si="1"/>
        <v>0.06560351211255686</v>
      </c>
      <c r="E42">
        <f t="shared" si="0"/>
        <v>13.536517506489785</v>
      </c>
      <c r="F42">
        <f t="shared" si="2"/>
        <v>13.718777715068937</v>
      </c>
      <c r="G42">
        <f ca="1" t="shared" si="3"/>
        <v>1.4642727439089644</v>
      </c>
      <c r="H42">
        <f t="shared" si="4"/>
        <v>0.007767529273914997</v>
      </c>
      <c r="I42">
        <f t="shared" si="5"/>
        <v>0.0005520503168586766</v>
      </c>
      <c r="J42">
        <f t="shared" si="6"/>
        <v>0.020588235294117647</v>
      </c>
      <c r="K42" s="48">
        <f ca="1" t="shared" si="7"/>
        <v>-7.993605777301127E-15</v>
      </c>
      <c r="L42" s="48">
        <f ca="1" t="shared" si="8"/>
        <v>-5.724587470723463E-17</v>
      </c>
    </row>
    <row r="43" spans="2:12" ht="13.5">
      <c r="B43">
        <f t="shared" si="9"/>
        <v>13.088235294117647</v>
      </c>
      <c r="C43" s="6">
        <f t="shared" si="10"/>
        <v>1.1779881581321832</v>
      </c>
      <c r="D43" s="6">
        <f ca="1" t="shared" si="1"/>
        <v>0.06643922564265312</v>
      </c>
      <c r="E43">
        <f t="shared" si="0"/>
        <v>13.652315036572675</v>
      </c>
      <c r="F43">
        <f t="shared" si="2"/>
        <v>13.546214473369957</v>
      </c>
      <c r="G43">
        <f ca="1" t="shared" si="3"/>
        <v>1.4634580636237577</v>
      </c>
      <c r="H43">
        <f t="shared" si="4"/>
        <v>0.008319579590773674</v>
      </c>
      <c r="I43">
        <f t="shared" si="5"/>
        <v>0.0005687399691404194</v>
      </c>
      <c r="J43">
        <f t="shared" si="6"/>
        <v>0.019117647058823534</v>
      </c>
      <c r="K43" s="48">
        <f ca="1" t="shared" si="7"/>
        <v>2.042810365310288E-14</v>
      </c>
      <c r="L43" s="48">
        <f ca="1" t="shared" si="8"/>
        <v>-3.361026734705064E-17</v>
      </c>
    </row>
    <row r="44" spans="2:12" ht="13.5">
      <c r="B44">
        <f t="shared" si="9"/>
        <v>13.235294117647058</v>
      </c>
      <c r="C44" s="6">
        <f t="shared" si="10"/>
        <v>1.187758632491397</v>
      </c>
      <c r="D44" s="6">
        <f ca="1" t="shared" si="1"/>
        <v>0.06728022849888925</v>
      </c>
      <c r="E44">
        <f t="shared" si="0"/>
        <v>13.769400358346397</v>
      </c>
      <c r="F44">
        <f t="shared" si="2"/>
        <v>13.37688679245283</v>
      </c>
      <c r="G44">
        <f ca="1" t="shared" si="3"/>
        <v>1.4626187538251432</v>
      </c>
      <c r="H44">
        <f t="shared" si="4"/>
        <v>0.008888319559914093</v>
      </c>
      <c r="I44">
        <f t="shared" si="5"/>
        <v>0.0005854233160219602</v>
      </c>
      <c r="J44">
        <f t="shared" si="6"/>
        <v>0.017647058823529422</v>
      </c>
      <c r="K44" s="48">
        <f ca="1" t="shared" si="7"/>
        <v>-1.4432899320127035E-14</v>
      </c>
      <c r="L44" s="48">
        <f ca="1" t="shared" si="8"/>
        <v>4.824699667560495E-17</v>
      </c>
    </row>
    <row r="45" spans="2:12" ht="13.5">
      <c r="B45">
        <f t="shared" si="9"/>
        <v>13.382352941176471</v>
      </c>
      <c r="C45" s="6">
        <f t="shared" si="10"/>
        <v>1.1976527837412336</v>
      </c>
      <c r="D45" s="6">
        <f ca="1" t="shared" si="1"/>
        <v>0.0681265206812652</v>
      </c>
      <c r="E45">
        <f t="shared" si="0"/>
        <v>13.887781622391264</v>
      </c>
      <c r="F45">
        <f t="shared" si="2"/>
        <v>13.210714285714285</v>
      </c>
      <c r="G45">
        <f ca="1" t="shared" si="3"/>
        <v>1.461754823818224</v>
      </c>
      <c r="H45">
        <f t="shared" si="4"/>
        <v>0.009473742875936053</v>
      </c>
      <c r="I45">
        <f t="shared" si="5"/>
        <v>0.0006020816717792199</v>
      </c>
      <c r="J45">
        <f t="shared" si="6"/>
        <v>0.016176470588235292</v>
      </c>
      <c r="K45" s="48">
        <f ca="1" t="shared" si="7"/>
        <v>0</v>
      </c>
      <c r="L45" s="48">
        <f ca="1" t="shared" si="8"/>
        <v>-7.632783294297951E-17</v>
      </c>
    </row>
    <row r="46" spans="2:12" ht="13.5">
      <c r="B46">
        <f t="shared" si="9"/>
        <v>13.529411764705882</v>
      </c>
      <c r="C46" s="6">
        <f t="shared" si="10"/>
        <v>1.2076713897237725</v>
      </c>
      <c r="D46" s="6">
        <f ca="1" t="shared" si="1"/>
        <v>0.06897810218978101</v>
      </c>
      <c r="E46">
        <f t="shared" si="0"/>
        <v>14.007466979287603</v>
      </c>
      <c r="F46">
        <f t="shared" si="2"/>
        <v>13.047619047619051</v>
      </c>
      <c r="G46">
        <f ca="1" t="shared" si="3"/>
        <v>1.4608663104832913</v>
      </c>
      <c r="H46">
        <f t="shared" si="4"/>
        <v>0.010075824547715273</v>
      </c>
      <c r="I46">
        <f t="shared" si="5"/>
        <v>0.0006186976962292423</v>
      </c>
      <c r="J46">
        <f t="shared" si="6"/>
        <v>0.014705882352941176</v>
      </c>
      <c r="K46" s="48">
        <f ca="1" t="shared" si="7"/>
        <v>1.1102230246251565E-15</v>
      </c>
      <c r="L46" s="48">
        <f ca="1" t="shared" si="8"/>
        <v>-2.3418766925686896E-17</v>
      </c>
    </row>
    <row r="47" spans="2:12" ht="13.5">
      <c r="B47">
        <f t="shared" si="9"/>
        <v>13.676470588235293</v>
      </c>
      <c r="C47" s="6">
        <f t="shared" si="10"/>
        <v>1.2178152282810932</v>
      </c>
      <c r="D47" s="6">
        <f ca="1" t="shared" si="1"/>
        <v>0.06983497302443667</v>
      </c>
      <c r="E47">
        <f t="shared" si="0"/>
        <v>14.128464579615734</v>
      </c>
      <c r="F47">
        <f t="shared" si="2"/>
        <v>12.887525562372192</v>
      </c>
      <c r="G47">
        <f ca="1" t="shared" si="3"/>
        <v>1.4599532762901604</v>
      </c>
      <c r="H47">
        <f t="shared" si="4"/>
        <v>0.010694522243944515</v>
      </c>
      <c r="I47">
        <f t="shared" si="5"/>
        <v>0.0006352553136228511</v>
      </c>
      <c r="J47">
        <f t="shared" si="6"/>
        <v>0.013235294117647064</v>
      </c>
      <c r="K47" s="48">
        <f ca="1" t="shared" si="7"/>
        <v>-2.4424906541753444E-15</v>
      </c>
      <c r="L47" s="48">
        <f ca="1" t="shared" si="8"/>
        <v>-3.838075690598686E-17</v>
      </c>
    </row>
    <row r="48" spans="2:12" ht="13.5">
      <c r="B48">
        <f t="shared" si="9"/>
        <v>13.823529411764707</v>
      </c>
      <c r="C48" s="6">
        <f t="shared" si="10"/>
        <v>1.2280850772552752</v>
      </c>
      <c r="D48" s="6">
        <f ca="1" t="shared" si="1"/>
        <v>0.07069713318523219</v>
      </c>
      <c r="E48">
        <f t="shared" si="0"/>
        <v>14.25078257395598</v>
      </c>
      <c r="F48">
        <f t="shared" si="2"/>
        <v>12.730360616489603</v>
      </c>
      <c r="G48">
        <f ca="1" t="shared" si="3"/>
        <v>1.4590158074322015</v>
      </c>
      <c r="H48">
        <f t="shared" si="4"/>
        <v>0.011329777557567366</v>
      </c>
      <c r="I48">
        <f t="shared" si="5"/>
        <v>0.0006517396363939776</v>
      </c>
      <c r="J48">
        <f t="shared" si="6"/>
        <v>0.011764705882352936</v>
      </c>
      <c r="K48" s="48">
        <f ca="1" t="shared" si="7"/>
        <v>-2.9976021664879227E-15</v>
      </c>
      <c r="L48" s="48">
        <f ca="1" t="shared" si="8"/>
        <v>-8.521829075736065E-17</v>
      </c>
    </row>
    <row r="49" spans="2:12" ht="13.5">
      <c r="B49">
        <f t="shared" si="9"/>
        <v>13.970588235294118</v>
      </c>
      <c r="C49" s="6">
        <f t="shared" si="10"/>
        <v>1.2384817144883975</v>
      </c>
      <c r="D49" s="6">
        <f ca="1" t="shared" si="1"/>
        <v>0.07156458267216755</v>
      </c>
      <c r="E49">
        <f t="shared" si="0"/>
        <v>14.374429112888661</v>
      </c>
      <c r="F49">
        <f t="shared" si="2"/>
        <v>12.576053215077609</v>
      </c>
      <c r="G49">
        <f ca="1" t="shared" si="3"/>
        <v>1.4580540120728958</v>
      </c>
      <c r="H49">
        <f t="shared" si="4"/>
        <v>0.011981517193961344</v>
      </c>
      <c r="I49">
        <f t="shared" si="5"/>
        <v>0.0006681368934656762</v>
      </c>
      <c r="J49">
        <f t="shared" si="6"/>
        <v>0.010294117647058823</v>
      </c>
      <c r="K49" s="48">
        <f ca="1" t="shared" si="7"/>
        <v>1.6653345369377348E-14</v>
      </c>
      <c r="L49" s="48">
        <f ca="1" t="shared" si="8"/>
        <v>4.7379634937616544E-17</v>
      </c>
    </row>
    <row r="50" spans="2:12" ht="13.5">
      <c r="B50">
        <f t="shared" si="9"/>
        <v>14.117647058823529</v>
      </c>
      <c r="C50" s="6">
        <f t="shared" si="10"/>
        <v>1.24900591782254</v>
      </c>
      <c r="D50" s="6">
        <f ca="1" t="shared" si="1"/>
        <v>0.07243732148524278</v>
      </c>
      <c r="E50">
        <f t="shared" si="0"/>
        <v>14.499412346994102</v>
      </c>
      <c r="F50">
        <f t="shared" si="2"/>
        <v>12.424534501642936</v>
      </c>
      <c r="G50">
        <f ca="1" t="shared" si="3"/>
        <v>1.457068018698192</v>
      </c>
      <c r="H50">
        <f t="shared" si="4"/>
        <v>0.01264965408742702</v>
      </c>
      <c r="I50">
        <f t="shared" si="5"/>
        <v>0.0006844343628292782</v>
      </c>
      <c r="J50">
        <f t="shared" si="6"/>
        <v>0.008823529411764711</v>
      </c>
      <c r="K50" s="48">
        <f ca="1" t="shared" si="7"/>
        <v>-1.532107773982716E-14</v>
      </c>
      <c r="L50" s="48">
        <f ca="1" t="shared" si="8"/>
        <v>-1.1384122811097797E-17</v>
      </c>
    </row>
    <row r="51" spans="2:12" ht="13.5">
      <c r="B51">
        <f t="shared" si="9"/>
        <v>14.264705882352942</v>
      </c>
      <c r="C51" s="6">
        <f t="shared" si="10"/>
        <v>1.2596584650997815</v>
      </c>
      <c r="D51" s="6">
        <f ca="1" t="shared" si="1"/>
        <v>0.07331534962445783</v>
      </c>
      <c r="E51">
        <f t="shared" si="0"/>
        <v>14.62574042685262</v>
      </c>
      <c r="F51">
        <f t="shared" si="2"/>
        <v>12.27573768126398</v>
      </c>
      <c r="G51">
        <f ca="1" t="shared" si="3"/>
        <v>1.45605797456836</v>
      </c>
      <c r="H51">
        <f t="shared" si="4"/>
        <v>0.013334088450256298</v>
      </c>
      <c r="I51">
        <f t="shared" si="5"/>
        <v>0.0007006203081295626</v>
      </c>
      <c r="J51">
        <f t="shared" si="6"/>
        <v>0.00735294117647058</v>
      </c>
      <c r="K51" s="48">
        <f ca="1" t="shared" si="7"/>
        <v>1.587618925213974E-14</v>
      </c>
      <c r="L51" s="48">
        <f ca="1" t="shared" si="8"/>
        <v>1.0733601507606494E-17</v>
      </c>
    </row>
    <row r="52" spans="2:12" ht="13.5">
      <c r="B52">
        <f t="shared" si="9"/>
        <v>14.411764705882353</v>
      </c>
      <c r="C52" s="6">
        <f t="shared" si="10"/>
        <v>1.2704401341622018</v>
      </c>
      <c r="D52" s="6">
        <f ca="1" t="shared" si="1"/>
        <v>0.07419866708981276</v>
      </c>
      <c r="E52">
        <f aca="true" t="shared" si="11" ref="E52:E83">B52*$B$9/$C$8+$B$15*C52</f>
        <v>14.75342150304454</v>
      </c>
      <c r="F52">
        <f t="shared" si="2"/>
        <v>12.129597946963216</v>
      </c>
      <c r="G52">
        <f ca="1" t="shared" si="3"/>
        <v>1.455024044263426</v>
      </c>
      <c r="H52">
        <f t="shared" si="4"/>
        <v>0.014034708758385861</v>
      </c>
      <c r="I52">
        <f t="shared" si="5"/>
        <v>0.0007166839190129171</v>
      </c>
      <c r="J52">
        <f t="shared" si="6"/>
        <v>0.005882352941176468</v>
      </c>
      <c r="K52" s="48">
        <f ca="1" t="shared" si="7"/>
        <v>-4.9960036108132044E-15</v>
      </c>
      <c r="L52" s="48">
        <f ca="1" t="shared" si="8"/>
        <v>-5.312590645178972E-18</v>
      </c>
    </row>
    <row r="53" spans="2:12" ht="13.5">
      <c r="B53">
        <f t="shared" si="9"/>
        <v>14.558823529411764</v>
      </c>
      <c r="C53" s="6">
        <f t="shared" si="10"/>
        <v>1.2813517028518802</v>
      </c>
      <c r="D53" s="6">
        <f ca="1" t="shared" si="1"/>
        <v>0.07508727388130754</v>
      </c>
      <c r="E53">
        <f t="shared" si="11"/>
        <v>14.882463726150181</v>
      </c>
      <c r="F53">
        <f t="shared" si="2"/>
        <v>11.98605240912933</v>
      </c>
      <c r="G53">
        <f ca="1" t="shared" si="3"/>
        <v>1.4539664083166397</v>
      </c>
      <c r="H53">
        <f t="shared" si="4"/>
        <v>0.014751392677398778</v>
      </c>
      <c r="I53">
        <f t="shared" si="5"/>
        <v>0.0007326152550035658</v>
      </c>
      <c r="J53">
        <f t="shared" si="6"/>
        <v>0.0044117647058823555</v>
      </c>
      <c r="K53" s="48">
        <f ca="1" t="shared" si="7"/>
        <v>-5.662137425588298E-15</v>
      </c>
      <c r="L53" s="48">
        <f ca="1" t="shared" si="8"/>
        <v>-2.1141942363467336E-17</v>
      </c>
    </row>
    <row r="54" spans="2:12" ht="13.5">
      <c r="B54">
        <f t="shared" si="9"/>
        <v>14.705882352941178</v>
      </c>
      <c r="C54" s="6">
        <f t="shared" si="10"/>
        <v>1.292393949010896</v>
      </c>
      <c r="D54" s="6">
        <f aca="true" ca="1" t="shared" si="12" ref="D54:D85">(($B$3+$B$4)*C54-$B$4*IF(B54-$C$8&gt;$C$7,OFFSET(C54,-$C$12,0),$C$21))/($B$3*B54+$B$4*$C$7)</f>
        <v>0.07598116999894215</v>
      </c>
      <c r="E54">
        <f t="shared" si="11"/>
        <v>15.012875246749868</v>
      </c>
      <c r="F54">
        <f aca="true" t="shared" si="13" ref="F54:F85">(1-$B$9/$C$8)/D54</f>
        <v>11.845040027845455</v>
      </c>
      <c r="G54">
        <f aca="true" ca="1" t="shared" si="14" ref="G54:G85">G55+$C$13*$B$4*(G55-IF(B55+$C$7&gt;$B$122,0,OFFSET(G55,$C$12,0)))/($B$3*B55+$B$4*$C$7)</f>
        <v>1.4528852619307644</v>
      </c>
      <c r="H54">
        <f aca="true" t="shared" si="15" ref="H54:H85">1-G54/$G$22</f>
        <v>0.015484007932402344</v>
      </c>
      <c r="I54">
        <f aca="true" t="shared" si="16" ref="I54:I85">H55-H54</f>
        <v>0.0008250798637829959</v>
      </c>
      <c r="J54">
        <f aca="true" t="shared" si="17" ref="J54:J85">$B$4*MAX($B$22+$C$7-B54,0)/($B$22-$B$20)</f>
        <v>0.002941176470588225</v>
      </c>
      <c r="K54" s="48">
        <f aca="true" ca="1" t="shared" si="18" ref="K54:K85">(E55-E54)/(B55-B54)-(($B$3+$B$4)*E54-$B$4*IF(B54-$C$7&gt;$C$8,OFFSET(E54,-$C$12,0),$B$15+$B$9*(B54-$C$7)/$C$8))/($B$3*B54+$B$4*$C$7)</f>
        <v>-2.1094237467877974E-15</v>
      </c>
      <c r="L54" s="48">
        <f aca="true" ca="1" t="shared" si="19" ref="L54:L85">-$C$13*$B$4*(H55-IF(B55+$C$7&gt;$B$122,1,OFFSET(H55,$C$12,0)))/($B$3*B55+$B$4*$C$7)-I54</f>
        <v>-4.716279450311944E-17</v>
      </c>
    </row>
    <row r="55" spans="2:12" ht="13.5">
      <c r="B55">
        <f aca="true" t="shared" si="20" ref="B55:B86">$B$22+$C$13*(ROW()-ROW($B$22))</f>
        <v>14.852941176470589</v>
      </c>
      <c r="C55" s="6">
        <f aca="true" t="shared" si="21" ref="C55:C86">C54+$C$13*D54</f>
        <v>1.3035676504813287</v>
      </c>
      <c r="D55" s="6">
        <f ca="1" t="shared" si="12"/>
        <v>0.07688035544271662</v>
      </c>
      <c r="E55">
        <f t="shared" si="11"/>
        <v>15.14466421542392</v>
      </c>
      <c r="F55">
        <f t="shared" si="13"/>
        <v>11.706501547987612</v>
      </c>
      <c r="G55">
        <f ca="1" t="shared" si="14"/>
        <v>1.4516676622333855</v>
      </c>
      <c r="H55">
        <f t="shared" si="15"/>
        <v>0.01630908779618534</v>
      </c>
      <c r="I55">
        <f t="shared" si="16"/>
        <v>0.000913869299858816</v>
      </c>
      <c r="J55">
        <f t="shared" si="17"/>
        <v>0.0014705882352941124</v>
      </c>
      <c r="K55" s="48">
        <f ca="1" t="shared" si="18"/>
        <v>9.103828801926284E-15</v>
      </c>
      <c r="L55" s="48">
        <f ca="1" t="shared" si="19"/>
        <v>-3.7838655819744105E-17</v>
      </c>
    </row>
    <row r="56" spans="2:12" ht="13.5">
      <c r="B56">
        <f t="shared" si="20"/>
        <v>15</v>
      </c>
      <c r="C56" s="6">
        <f t="shared" si="21"/>
        <v>1.3148735851052575</v>
      </c>
      <c r="D56" s="6">
        <f ca="1" t="shared" si="12"/>
        <v>0.07778483021263091</v>
      </c>
      <c r="E56">
        <f t="shared" si="11"/>
        <v>15.27783878275266</v>
      </c>
      <c r="F56">
        <f t="shared" si="13"/>
        <v>11.570379436964505</v>
      </c>
      <c r="G56">
        <f ca="1" t="shared" si="14"/>
        <v>1.4503190328075624</v>
      </c>
      <c r="H56">
        <f t="shared" si="15"/>
        <v>0.017222957096044156</v>
      </c>
      <c r="I56">
        <f t="shared" si="16"/>
        <v>0.0009991190771465597</v>
      </c>
      <c r="J56">
        <f t="shared" si="17"/>
        <v>0</v>
      </c>
      <c r="K56" s="48">
        <f ca="1" t="shared" si="18"/>
        <v>-8.548717289613705E-15</v>
      </c>
      <c r="L56" s="48">
        <f ca="1" t="shared" si="19"/>
        <v>-3.491130995403324E-17</v>
      </c>
    </row>
    <row r="57" spans="2:12" ht="13.5">
      <c r="B57">
        <f t="shared" si="20"/>
        <v>15.147058823529413</v>
      </c>
      <c r="C57" s="6">
        <f t="shared" si="21"/>
        <v>1.326312530724762</v>
      </c>
      <c r="D57" s="6">
        <f ca="1" t="shared" si="12"/>
        <v>0.07810979898704767</v>
      </c>
      <c r="E57">
        <f t="shared" si="11"/>
        <v>15.41240709931641</v>
      </c>
      <c r="F57">
        <f t="shared" si="13"/>
        <v>11.522241916782296</v>
      </c>
      <c r="G57">
        <f ca="1" t="shared" si="14"/>
        <v>1.4488445972536497</v>
      </c>
      <c r="H57">
        <f t="shared" si="15"/>
        <v>0.018222076173190715</v>
      </c>
      <c r="I57">
        <f t="shared" si="16"/>
        <v>0.0010809593365072034</v>
      </c>
      <c r="J57">
        <f t="shared" si="17"/>
        <v>0</v>
      </c>
      <c r="K57" s="48">
        <f ca="1" t="shared" si="18"/>
        <v>1.0547118733938987E-14</v>
      </c>
      <c r="L57" s="48">
        <f ca="1" t="shared" si="19"/>
        <v>5.572799166575493E-17</v>
      </c>
    </row>
    <row r="58" spans="2:12" ht="13.5">
      <c r="B58">
        <f t="shared" si="20"/>
        <v>15.294117647058822</v>
      </c>
      <c r="C58" s="6">
        <f t="shared" si="21"/>
        <v>1.337799265869916</v>
      </c>
      <c r="D58" s="6">
        <f ca="1" t="shared" si="12"/>
        <v>0.07842816959146333</v>
      </c>
      <c r="E58">
        <f t="shared" si="11"/>
        <v>15.547476176095712</v>
      </c>
      <c r="F58">
        <f t="shared" si="13"/>
        <v>11.47546863184682</v>
      </c>
      <c r="G58">
        <f ca="1" t="shared" si="14"/>
        <v>1.4472493871185055</v>
      </c>
      <c r="H58">
        <f t="shared" si="15"/>
        <v>0.01930303550969792</v>
      </c>
      <c r="I58">
        <f t="shared" si="16"/>
        <v>0.001159515080655149</v>
      </c>
      <c r="J58">
        <f t="shared" si="17"/>
        <v>0</v>
      </c>
      <c r="K58" s="48">
        <f ca="1" t="shared" si="18"/>
        <v>-1.865174681370263E-14</v>
      </c>
      <c r="L58" s="48">
        <f ca="1" t="shared" si="19"/>
        <v>9.90960785651751E-17</v>
      </c>
    </row>
    <row r="59" spans="2:12" ht="13.5">
      <c r="B59">
        <f t="shared" si="20"/>
        <v>15.441176470588236</v>
      </c>
      <c r="C59" s="6">
        <f t="shared" si="21"/>
        <v>1.3493328202216017</v>
      </c>
      <c r="D59" s="6">
        <f ca="1" t="shared" si="12"/>
        <v>0.07873988087759887</v>
      </c>
      <c r="E59">
        <f t="shared" si="11"/>
        <v>15.683035845648979</v>
      </c>
      <c r="F59">
        <f t="shared" si="13"/>
        <v>11.43004015206792</v>
      </c>
      <c r="G59">
        <f ca="1" t="shared" si="14"/>
        <v>1.4455382494780367</v>
      </c>
      <c r="H59">
        <f t="shared" si="15"/>
        <v>0.020462550590353068</v>
      </c>
      <c r="I59">
        <f t="shared" si="16"/>
        <v>0.0012349063977254993</v>
      </c>
      <c r="J59">
        <f t="shared" si="17"/>
        <v>0</v>
      </c>
      <c r="K59" s="48">
        <f ca="1" t="shared" si="18"/>
        <v>-1.4876988529977098E-14</v>
      </c>
      <c r="L59" s="48">
        <f ca="1" t="shared" si="19"/>
        <v>7.025630077706069E-17</v>
      </c>
    </row>
    <row r="60" spans="2:12" ht="13.5">
      <c r="B60">
        <f t="shared" si="20"/>
        <v>15.588235294117649</v>
      </c>
      <c r="C60" s="6">
        <f t="shared" si="21"/>
        <v>1.3609122144683075</v>
      </c>
      <c r="D60" s="6">
        <f ca="1" t="shared" si="12"/>
        <v>0.0790448720486021</v>
      </c>
      <c r="E60">
        <f t="shared" si="11"/>
        <v>15.81907584630826</v>
      </c>
      <c r="F60">
        <f t="shared" si="13"/>
        <v>11.385937843591163</v>
      </c>
      <c r="G60">
        <f ca="1" t="shared" si="14"/>
        <v>1.4437158541898185</v>
      </c>
      <c r="H60">
        <f t="shared" si="15"/>
        <v>0.021697456988078567</v>
      </c>
      <c r="I60">
        <f t="shared" si="16"/>
        <v>0.0013072486741033673</v>
      </c>
      <c r="J60">
        <f t="shared" si="17"/>
        <v>0</v>
      </c>
      <c r="K60" s="48">
        <f ca="1" t="shared" si="18"/>
        <v>2.6201263381153694E-14</v>
      </c>
      <c r="L60" s="48">
        <f ca="1" t="shared" si="19"/>
        <v>-7.26415455565288E-17</v>
      </c>
    </row>
    <row r="61" spans="2:12" ht="13.5">
      <c r="B61">
        <f t="shared" si="20"/>
        <v>15.735294117647058</v>
      </c>
      <c r="C61" s="6">
        <f t="shared" si="21"/>
        <v>1.3725364603578079</v>
      </c>
      <c r="D61" s="6">
        <f ca="1" t="shared" si="12"/>
        <v>0.07934308265503147</v>
      </c>
      <c r="E61">
        <f t="shared" si="11"/>
        <v>15.955585822720778</v>
      </c>
      <c r="F61">
        <f t="shared" si="13"/>
        <v>11.343143849263177</v>
      </c>
      <c r="G61">
        <f ca="1" t="shared" si="14"/>
        <v>1.4417867008316343</v>
      </c>
      <c r="H61">
        <f t="shared" si="15"/>
        <v>0.023004705662181935</v>
      </c>
      <c r="I61">
        <f t="shared" si="16"/>
        <v>0.0013766527970809905</v>
      </c>
      <c r="J61">
        <f t="shared" si="17"/>
        <v>0</v>
      </c>
      <c r="K61" s="48">
        <f ca="1" t="shared" si="18"/>
        <v>-1.4432899320127035E-14</v>
      </c>
      <c r="L61" s="48">
        <f ca="1" t="shared" si="19"/>
        <v>-2.3852447794681098E-17</v>
      </c>
    </row>
    <row r="62" spans="2:12" ht="13.5">
      <c r="B62">
        <f t="shared" si="20"/>
        <v>15.882352941176471</v>
      </c>
      <c r="C62" s="6">
        <f t="shared" si="21"/>
        <v>1.3842045607482536</v>
      </c>
      <c r="D62" s="6">
        <f ca="1" t="shared" si="12"/>
        <v>0.07963445259090798</v>
      </c>
      <c r="E62">
        <f t="shared" si="11"/>
        <v>16.092555326384254</v>
      </c>
      <c r="F62">
        <f t="shared" si="13"/>
        <v>11.301641070145998</v>
      </c>
      <c r="G62">
        <f ca="1" t="shared" si="14"/>
        <v>1.4397551253409464</v>
      </c>
      <c r="H62">
        <f t="shared" si="15"/>
        <v>0.024381358459262925</v>
      </c>
      <c r="I62">
        <f t="shared" si="16"/>
        <v>0.0014432253478784407</v>
      </c>
      <c r="J62">
        <f t="shared" si="17"/>
        <v>0</v>
      </c>
      <c r="K62" s="48">
        <f ca="1" t="shared" si="18"/>
        <v>0</v>
      </c>
      <c r="L62" s="48">
        <f ca="1" t="shared" si="19"/>
        <v>1.1275702593849246E-17</v>
      </c>
    </row>
    <row r="63" spans="2:12" ht="13.5">
      <c r="B63">
        <f t="shared" si="20"/>
        <v>16.029411764705884</v>
      </c>
      <c r="C63" s="6">
        <f t="shared" si="21"/>
        <v>1.3959155096586813</v>
      </c>
      <c r="D63" s="6">
        <f ca="1" t="shared" si="12"/>
        <v>0.07991892208983471</v>
      </c>
      <c r="E63">
        <f t="shared" si="11"/>
        <v>16.22997381617619</v>
      </c>
      <c r="F63">
        <f t="shared" si="13"/>
        <v>11.261413148044392</v>
      </c>
      <c r="G63">
        <f ca="1" t="shared" si="14"/>
        <v>1.4376253063695208</v>
      </c>
      <c r="H63">
        <f t="shared" si="15"/>
        <v>0.025824583807141366</v>
      </c>
      <c r="I63">
        <f t="shared" si="16"/>
        <v>0.0015070687855285314</v>
      </c>
      <c r="J63">
        <f t="shared" si="17"/>
        <v>0</v>
      </c>
      <c r="K63" s="48">
        <f ca="1" t="shared" si="18"/>
        <v>2.4202861936828413E-14</v>
      </c>
      <c r="L63" s="48">
        <f ca="1" t="shared" si="19"/>
        <v>9.020562075079397E-17</v>
      </c>
    </row>
    <row r="64" spans="2:12" ht="13.5">
      <c r="B64">
        <f t="shared" si="20"/>
        <v>16.176470588235293</v>
      </c>
      <c r="C64" s="6">
        <f t="shared" si="21"/>
        <v>1.4076682923189512</v>
      </c>
      <c r="D64" s="6">
        <f ca="1" t="shared" si="12"/>
        <v>0.08019643172118082</v>
      </c>
      <c r="E64">
        <f t="shared" si="11"/>
        <v>16.367830658877132</v>
      </c>
      <c r="F64">
        <f t="shared" si="13"/>
        <v>11.222444449012803</v>
      </c>
      <c r="G64">
        <f ca="1" t="shared" si="14"/>
        <v>1.4354012713666846</v>
      </c>
      <c r="H64">
        <f t="shared" si="15"/>
        <v>0.027331652592669897</v>
      </c>
      <c r="I64">
        <f t="shared" si="16"/>
        <v>0.001568281622103651</v>
      </c>
      <c r="J64">
        <f t="shared" si="17"/>
        <v>0</v>
      </c>
      <c r="K64" s="48">
        <f ca="1" t="shared" si="18"/>
        <v>-1.2656542480726785E-14</v>
      </c>
      <c r="L64" s="48">
        <f ca="1" t="shared" si="19"/>
        <v>-5.594483210025203E-17</v>
      </c>
    </row>
    <row r="65" spans="1:12" ht="13.5">
      <c r="A65" s="7" t="s">
        <v>423</v>
      </c>
      <c r="B65">
        <f t="shared" si="20"/>
        <v>16.323529411764707</v>
      </c>
      <c r="C65" s="6">
        <f t="shared" si="21"/>
        <v>1.4194618852191248</v>
      </c>
      <c r="D65" s="6">
        <f ca="1" t="shared" si="12"/>
        <v>0.08046692238633023</v>
      </c>
      <c r="E65">
        <f t="shared" si="11"/>
        <v>16.506115129688066</v>
      </c>
      <c r="F65">
        <f t="shared" si="13"/>
        <v>11.18472004781051</v>
      </c>
      <c r="G65">
        <f ca="1" t="shared" si="14"/>
        <v>1.4330869024039967</v>
      </c>
      <c r="H65">
        <f t="shared" si="15"/>
        <v>0.02889993421477355</v>
      </c>
      <c r="I65">
        <f t="shared" si="16"/>
        <v>0.0016269585897293881</v>
      </c>
      <c r="J65">
        <f t="shared" si="17"/>
        <v>0</v>
      </c>
      <c r="K65" s="48">
        <f ca="1" t="shared" si="18"/>
        <v>1.2212453270876722E-14</v>
      </c>
      <c r="L65" s="48">
        <f ca="1" t="shared" si="19"/>
        <v>-1.214306433183765E-17</v>
      </c>
    </row>
    <row r="66" spans="2:12" ht="13.5">
      <c r="B66">
        <f t="shared" si="20"/>
        <v>16.470588235294116</v>
      </c>
      <c r="C66" s="6">
        <f t="shared" si="21"/>
        <v>1.431295256158291</v>
      </c>
      <c r="D66" s="6">
        <f ca="1" t="shared" si="12"/>
        <v>0.08073033531499249</v>
      </c>
      <c r="E66">
        <f t="shared" si="11"/>
        <v>16.64481641274205</v>
      </c>
      <c r="F66">
        <f t="shared" si="13"/>
        <v>11.148225713276089</v>
      </c>
      <c r="G66">
        <f ca="1" t="shared" si="14"/>
        <v>1.4306859417534488</v>
      </c>
      <c r="H66">
        <f t="shared" si="15"/>
        <v>0.030526892804502936</v>
      </c>
      <c r="I66">
        <f t="shared" si="16"/>
        <v>0.0016831907998112738</v>
      </c>
      <c r="J66">
        <f t="shared" si="17"/>
        <v>0</v>
      </c>
      <c r="K66" s="48">
        <f ca="1" t="shared" si="18"/>
        <v>-2.020605904817785E-14</v>
      </c>
      <c r="L66" s="48">
        <f ca="1" t="shared" si="19"/>
        <v>8.413408858487514E-17</v>
      </c>
    </row>
    <row r="67" spans="2:12" ht="13.5">
      <c r="B67">
        <f t="shared" si="20"/>
        <v>16.61764705882353</v>
      </c>
      <c r="C67" s="6">
        <f t="shared" si="21"/>
        <v>1.4431673642928486</v>
      </c>
      <c r="D67" s="6">
        <f ca="1" t="shared" si="12"/>
        <v>0.08098661206157484</v>
      </c>
      <c r="E67">
        <f t="shared" si="11"/>
        <v>16.78392360161013</v>
      </c>
      <c r="F67">
        <f t="shared" si="13"/>
        <v>11.112947894594257</v>
      </c>
      <c r="G67">
        <f ca="1" t="shared" si="14"/>
        <v>1.4282019972306914</v>
      </c>
      <c r="H67">
        <f t="shared" si="15"/>
        <v>0.03221008360431421</v>
      </c>
      <c r="I67">
        <f t="shared" si="16"/>
        <v>0.0017370658948695494</v>
      </c>
      <c r="J67">
        <f t="shared" si="17"/>
        <v>0</v>
      </c>
      <c r="K67" s="48">
        <f ca="1" t="shared" si="18"/>
        <v>5.551115123125783E-15</v>
      </c>
      <c r="L67" s="48">
        <f ca="1" t="shared" si="19"/>
        <v>6.288372600415926E-18</v>
      </c>
    </row>
    <row r="68" spans="2:12" ht="13.5">
      <c r="B68">
        <f t="shared" si="20"/>
        <v>16.764705882352942</v>
      </c>
      <c r="C68" s="6">
        <f t="shared" si="21"/>
        <v>1.4550771601842567</v>
      </c>
      <c r="D68" s="6">
        <f ca="1" t="shared" si="12"/>
        <v>0.08123569450161432</v>
      </c>
      <c r="E68">
        <f t="shared" si="11"/>
        <v>16.923425699801705</v>
      </c>
      <c r="F68">
        <f t="shared" si="13"/>
        <v>11.078873708430168</v>
      </c>
      <c r="G68">
        <f ca="1" t="shared" si="14"/>
        <v>1.4256385473141915</v>
      </c>
      <c r="H68">
        <f t="shared" si="15"/>
        <v>0.03394714949918376</v>
      </c>
      <c r="I68">
        <f t="shared" si="16"/>
        <v>0.001788668193360099</v>
      </c>
      <c r="J68">
        <f t="shared" si="17"/>
        <v>0</v>
      </c>
      <c r="K68" s="48">
        <f ca="1" t="shared" si="18"/>
        <v>-1.4876988529977098E-14</v>
      </c>
      <c r="L68" s="48">
        <f ca="1" t="shared" si="19"/>
        <v>-7.28583859910259E-17</v>
      </c>
    </row>
    <row r="69" spans="2:12" ht="13.5">
      <c r="B69">
        <f t="shared" si="20"/>
        <v>16.911764705882355</v>
      </c>
      <c r="C69" s="6">
        <f t="shared" si="21"/>
        <v>1.4670235858462588</v>
      </c>
      <c r="D69" s="6">
        <f ca="1" t="shared" si="12"/>
        <v>0.08147752482826778</v>
      </c>
      <c r="E69">
        <f t="shared" si="11"/>
        <v>17.063311621259338</v>
      </c>
      <c r="F69">
        <f t="shared" si="13"/>
        <v>11.045990926908402</v>
      </c>
      <c r="G69">
        <f ca="1" t="shared" si="14"/>
        <v>1.4229989460506716</v>
      </c>
      <c r="H69">
        <f t="shared" si="15"/>
        <v>0.03573581769254386</v>
      </c>
      <c r="I69">
        <f t="shared" si="16"/>
        <v>0.001838078827838041</v>
      </c>
      <c r="J69">
        <f t="shared" si="17"/>
        <v>0</v>
      </c>
      <c r="K69" s="48">
        <f ca="1" t="shared" si="18"/>
        <v>5.662137425588298E-15</v>
      </c>
      <c r="L69" s="48">
        <f ca="1" t="shared" si="19"/>
        <v>4.9439619065339E-17</v>
      </c>
    </row>
    <row r="70" spans="2:12" ht="13.5">
      <c r="B70">
        <f t="shared" si="20"/>
        <v>17.058823529411764</v>
      </c>
      <c r="C70" s="6">
        <f t="shared" si="21"/>
        <v>1.4790055747915922</v>
      </c>
      <c r="D70" s="6">
        <f ca="1" t="shared" si="12"/>
        <v>0.08171204554885983</v>
      </c>
      <c r="E70">
        <f t="shared" si="11"/>
        <v>17.203570190848225</v>
      </c>
      <c r="F70">
        <f t="shared" si="13"/>
        <v>11.014287966415475</v>
      </c>
      <c r="G70">
        <f ca="1" t="shared" si="14"/>
        <v>1.4202864277566574</v>
      </c>
      <c r="H70">
        <f t="shared" si="15"/>
        <v>0.0375738965203819</v>
      </c>
      <c r="I70">
        <f t="shared" si="16"/>
        <v>0.0018853758767992668</v>
      </c>
      <c r="J70">
        <f t="shared" si="17"/>
        <v>0</v>
      </c>
      <c r="K70" s="48">
        <f ca="1" t="shared" si="18"/>
        <v>-2.1094237467877974E-15</v>
      </c>
      <c r="L70" s="48">
        <f ca="1" t="shared" si="19"/>
        <v>-2.7972416050126014E-17</v>
      </c>
    </row>
    <row r="71" spans="2:12" ht="13.5">
      <c r="B71">
        <f t="shared" si="20"/>
        <v>17.205882352941178</v>
      </c>
      <c r="C71" s="6">
        <f t="shared" si="21"/>
        <v>1.4910220520781892</v>
      </c>
      <c r="D71" s="6">
        <f ca="1" t="shared" si="12"/>
        <v>0.08193919948148624</v>
      </c>
      <c r="E71">
        <f t="shared" si="11"/>
        <v>17.344190144840297</v>
      </c>
      <c r="F71">
        <f t="shared" si="13"/>
        <v>10.98375387720685</v>
      </c>
      <c r="G71">
        <f ca="1" t="shared" si="14"/>
        <v>1.4175041115254616</v>
      </c>
      <c r="H71">
        <f t="shared" si="15"/>
        <v>0.039459272397181167</v>
      </c>
      <c r="I71">
        <f t="shared" si="16"/>
        <v>0.0019306344905151152</v>
      </c>
      <c r="J71">
        <f t="shared" si="17"/>
        <v>0</v>
      </c>
      <c r="K71" s="48">
        <f ca="1" t="shared" si="18"/>
        <v>2.042810365310288E-14</v>
      </c>
      <c r="L71" s="48">
        <f ca="1" t="shared" si="19"/>
        <v>3.599551212651875E-17</v>
      </c>
    </row>
    <row r="72" spans="2:12" ht="13.5">
      <c r="B72">
        <f t="shared" si="20"/>
        <v>17.352941176470587</v>
      </c>
      <c r="C72" s="6">
        <f t="shared" si="21"/>
        <v>1.5030719343548784</v>
      </c>
      <c r="D72" s="6">
        <f ca="1" t="shared" si="12"/>
        <v>0.08215892975167241</v>
      </c>
      <c r="E72">
        <f t="shared" si="11"/>
        <v>17.485160131393098</v>
      </c>
      <c r="F72">
        <f t="shared" si="13"/>
        <v>10.954378333801017</v>
      </c>
      <c r="G72">
        <f ca="1" t="shared" si="14"/>
        <v>1.414655005548469</v>
      </c>
      <c r="H72">
        <f t="shared" si="15"/>
        <v>0.04138990688769628</v>
      </c>
      <c r="I72">
        <f t="shared" si="16"/>
        <v>0.0019739270111648333</v>
      </c>
      <c r="J72">
        <f t="shared" si="17"/>
        <v>0</v>
      </c>
      <c r="K72" s="48">
        <f ca="1" t="shared" si="18"/>
        <v>-3.11972669919669E-14</v>
      </c>
      <c r="L72" s="48">
        <f ca="1" t="shared" si="19"/>
        <v>1.9949319973733282E-17</v>
      </c>
    </row>
    <row r="73" spans="2:12" ht="13.5">
      <c r="B73">
        <f t="shared" si="20"/>
        <v>17.5</v>
      </c>
      <c r="C73" s="6">
        <f t="shared" si="21"/>
        <v>1.515154129906595</v>
      </c>
      <c r="D73" s="6">
        <f ca="1" t="shared" si="12"/>
        <v>0.08237117978908527</v>
      </c>
      <c r="E73">
        <f t="shared" si="11"/>
        <v>17.62646871102352</v>
      </c>
      <c r="F73">
        <f t="shared" si="13"/>
        <v>10.926151626145046</v>
      </c>
      <c r="G73">
        <f ca="1" t="shared" si="14"/>
        <v>1.4117420112591375</v>
      </c>
      <c r="H73">
        <f t="shared" si="15"/>
        <v>0.043363833898861115</v>
      </c>
      <c r="I73">
        <f t="shared" si="16"/>
        <v>0.002015323087544707</v>
      </c>
      <c r="J73">
        <f t="shared" si="17"/>
        <v>0</v>
      </c>
      <c r="K73" s="48">
        <f ca="1" t="shared" si="18"/>
        <v>0</v>
      </c>
      <c r="L73" s="48">
        <f ca="1" t="shared" si="19"/>
        <v>-1.1709383462843448E-17</v>
      </c>
    </row>
    <row r="74" spans="2:12" ht="13.5">
      <c r="B74">
        <f t="shared" si="20"/>
        <v>17.647058823529413</v>
      </c>
      <c r="C74" s="6">
        <f t="shared" si="21"/>
        <v>1.5272675386991075</v>
      </c>
      <c r="D74" s="6">
        <f ca="1" t="shared" si="12"/>
        <v>0.08257589332429781</v>
      </c>
      <c r="E74">
        <f t="shared" si="11"/>
        <v>17.76810435707649</v>
      </c>
      <c r="F74">
        <f t="shared" si="13"/>
        <v>10.899064651537675</v>
      </c>
      <c r="G74">
        <f ca="1" t="shared" si="14"/>
        <v>1.4087679273077196</v>
      </c>
      <c r="H74">
        <f t="shared" si="15"/>
        <v>0.04537915698640582</v>
      </c>
      <c r="I74">
        <f t="shared" si="16"/>
        <v>0.0020548897846255354</v>
      </c>
      <c r="J74">
        <f t="shared" si="17"/>
        <v>0</v>
      </c>
      <c r="K74" s="48">
        <f ca="1" t="shared" si="18"/>
        <v>-3.552713678800501E-15</v>
      </c>
      <c r="L74" s="48">
        <f ca="1" t="shared" si="19"/>
        <v>-9.84455572616838E-17</v>
      </c>
    </row>
    <row r="75" spans="2:12" ht="13.5">
      <c r="B75">
        <f t="shared" si="20"/>
        <v>17.794117647058822</v>
      </c>
      <c r="C75" s="6">
        <f t="shared" si="21"/>
        <v>1.539411052423269</v>
      </c>
      <c r="D75" s="6">
        <f ca="1" t="shared" si="12"/>
        <v>0.08277301438560485</v>
      </c>
      <c r="E75">
        <f t="shared" si="11"/>
        <v>17.91005545618861</v>
      </c>
      <c r="F75">
        <f t="shared" si="13"/>
        <v>10.873108907297691</v>
      </c>
      <c r="G75">
        <f ca="1" t="shared" si="14"/>
        <v>1.4057354533743054</v>
      </c>
      <c r="H75">
        <f t="shared" si="15"/>
        <v>0.04743404677103136</v>
      </c>
      <c r="I75">
        <f t="shared" si="16"/>
        <v>0.0020926916882102464</v>
      </c>
      <c r="J75">
        <f t="shared" si="17"/>
        <v>0</v>
      </c>
      <c r="K75" s="48">
        <f ca="1" t="shared" si="18"/>
        <v>0</v>
      </c>
      <c r="L75" s="48">
        <f ca="1" t="shared" si="19"/>
        <v>-1.474514954580286E-17</v>
      </c>
    </row>
    <row r="76" spans="2:12" ht="13.5">
      <c r="B76">
        <f t="shared" si="20"/>
        <v>17.941176470588236</v>
      </c>
      <c r="C76" s="6">
        <f t="shared" si="21"/>
        <v>1.551583554538799</v>
      </c>
      <c r="D76" s="6">
        <f ca="1" t="shared" si="12"/>
        <v>0.08296248729588909</v>
      </c>
      <c r="E76">
        <f t="shared" si="11"/>
        <v>18.052310308746975</v>
      </c>
      <c r="F76">
        <f t="shared" si="13"/>
        <v>10.848276484167036</v>
      </c>
      <c r="G76">
        <f ca="1" t="shared" si="14"/>
        <v>1.4026471938274183</v>
      </c>
      <c r="H76">
        <f t="shared" si="15"/>
        <v>0.049526738459241604</v>
      </c>
      <c r="I76">
        <f t="shared" si="16"/>
        <v>0.0021287910049336833</v>
      </c>
      <c r="J76">
        <f t="shared" si="17"/>
        <v>0</v>
      </c>
      <c r="K76" s="48">
        <f ca="1" t="shared" si="18"/>
        <v>1.9872992140790302E-14</v>
      </c>
      <c r="L76" s="48">
        <f ca="1" t="shared" si="19"/>
        <v>1.9081958235744878E-17</v>
      </c>
    </row>
    <row r="77" spans="2:12" ht="13.5">
      <c r="B77">
        <f t="shared" si="20"/>
        <v>18.088235294117645</v>
      </c>
      <c r="C77" s="6">
        <f t="shared" si="21"/>
        <v>1.5637839203176063</v>
      </c>
      <c r="D77" s="6">
        <f ca="1" t="shared" si="12"/>
        <v>0.08314425666953655</v>
      </c>
      <c r="E77">
        <f t="shared" si="11"/>
        <v>18.194857129343088</v>
      </c>
      <c r="F77">
        <f t="shared" si="13"/>
        <v>10.82456006043955</v>
      </c>
      <c r="G77">
        <f ca="1" t="shared" si="14"/>
        <v>1.3995056612350392</v>
      </c>
      <c r="H77">
        <f t="shared" si="15"/>
        <v>0.05165552946417529</v>
      </c>
      <c r="I77">
        <f t="shared" si="16"/>
        <v>0.0021632476578292703</v>
      </c>
      <c r="J77">
        <f t="shared" si="17"/>
        <v>0</v>
      </c>
      <c r="K77" s="48">
        <f ca="1" t="shared" si="18"/>
        <v>-3.9968028886505635E-15</v>
      </c>
      <c r="L77" s="48">
        <f ca="1" t="shared" si="19"/>
        <v>1.6479873021779667E-16</v>
      </c>
    </row>
    <row r="78" spans="2:12" ht="13.5">
      <c r="B78">
        <f t="shared" si="20"/>
        <v>18.235294117647058</v>
      </c>
      <c r="C78" s="6">
        <f t="shared" si="21"/>
        <v>1.5760110168866557</v>
      </c>
      <c r="D78" s="6">
        <f ca="1" t="shared" si="12"/>
        <v>0.08331826740939992</v>
      </c>
      <c r="E78">
        <f t="shared" si="11"/>
        <v>18.337684047222062</v>
      </c>
      <c r="F78">
        <f t="shared" si="13"/>
        <v>10.801952896808109</v>
      </c>
      <c r="G78">
        <f ca="1" t="shared" si="14"/>
        <v>1.3963132797345965</v>
      </c>
      <c r="H78">
        <f t="shared" si="15"/>
        <v>0.05381877712200456</v>
      </c>
      <c r="I78">
        <f t="shared" si="16"/>
        <v>0.0021961193776811605</v>
      </c>
      <c r="J78">
        <f t="shared" si="17"/>
        <v>0</v>
      </c>
      <c r="K78" s="48">
        <f ca="1" t="shared" si="18"/>
        <v>4.6629367034256575E-15</v>
      </c>
      <c r="L78" s="48">
        <f ca="1" t="shared" si="19"/>
        <v>-4.9439619065339E-17</v>
      </c>
    </row>
    <row r="79" spans="2:12" ht="13.5">
      <c r="B79">
        <f t="shared" si="20"/>
        <v>18.38235294117647</v>
      </c>
      <c r="C79" s="6">
        <f t="shared" si="21"/>
        <v>1.588263703270391</v>
      </c>
      <c r="D79" s="6">
        <f ca="1" t="shared" si="12"/>
        <v>0.08348446470380934</v>
      </c>
      <c r="E79">
        <f t="shared" si="11"/>
        <v>18.480779106727134</v>
      </c>
      <c r="F79">
        <f t="shared" si="13"/>
        <v>10.780448831924218</v>
      </c>
      <c r="G79">
        <f ca="1" t="shared" si="14"/>
        <v>1.3930723882681486</v>
      </c>
      <c r="H79">
        <f t="shared" si="15"/>
        <v>0.05601489649968572</v>
      </c>
      <c r="I79">
        <f t="shared" si="16"/>
        <v>0.0022274617903610405</v>
      </c>
      <c r="J79">
        <f t="shared" si="17"/>
        <v>0</v>
      </c>
      <c r="K79" s="48">
        <f ca="1" t="shared" si="18"/>
        <v>-1.0103029524088925E-14</v>
      </c>
      <c r="L79" s="48">
        <f ca="1" t="shared" si="19"/>
        <v>1.1535911115245767E-16</v>
      </c>
    </row>
    <row r="80" spans="2:12" ht="13.5">
      <c r="B80">
        <f t="shared" si="20"/>
        <v>18.529411764705884</v>
      </c>
      <c r="C80" s="6">
        <f t="shared" si="21"/>
        <v>1.600540830432716</v>
      </c>
      <c r="D80" s="6">
        <f ca="1" t="shared" si="12"/>
        <v>0.08364279402362938</v>
      </c>
      <c r="E80">
        <f t="shared" si="11"/>
        <v>18.624130267739563</v>
      </c>
      <c r="F80">
        <f t="shared" si="13"/>
        <v>10.760042278665953</v>
      </c>
      <c r="G80">
        <f ca="1" t="shared" si="14"/>
        <v>1.3897852436886755</v>
      </c>
      <c r="H80">
        <f t="shared" si="15"/>
        <v>0.05824235829004676</v>
      </c>
      <c r="I80">
        <f t="shared" si="16"/>
        <v>0.0022573285003498755</v>
      </c>
      <c r="J80">
        <f t="shared" si="17"/>
        <v>0</v>
      </c>
      <c r="K80" s="48">
        <f ca="1" t="shared" si="18"/>
        <v>-8.43769498715119E-15</v>
      </c>
      <c r="L80" s="48">
        <f ca="1" t="shared" si="19"/>
        <v>6.071532165918825E-17</v>
      </c>
    </row>
    <row r="81" spans="2:12" ht="13.5">
      <c r="B81">
        <f t="shared" si="20"/>
        <v>18.676470588235297</v>
      </c>
      <c r="C81" s="6">
        <f t="shared" si="21"/>
        <v>1.6128412413185438</v>
      </c>
      <c r="D81" s="6">
        <f ca="1" t="shared" si="12"/>
        <v>0.08379320111936117</v>
      </c>
      <c r="E81">
        <f t="shared" si="11"/>
        <v>18.767725406114014</v>
      </c>
      <c r="F81">
        <f t="shared" si="13"/>
        <v>10.740728221111569</v>
      </c>
      <c r="G81">
        <f ca="1" t="shared" si="14"/>
        <v>1.3864540237431193</v>
      </c>
      <c r="H81">
        <f t="shared" si="15"/>
        <v>0.060499686790396634</v>
      </c>
      <c r="I81">
        <f t="shared" si="16"/>
        <v>0.002285771170618567</v>
      </c>
      <c r="J81">
        <f t="shared" si="17"/>
        <v>0</v>
      </c>
      <c r="K81" s="48">
        <f ca="1" t="shared" si="18"/>
        <v>1.9761969838327786E-14</v>
      </c>
      <c r="L81" s="48">
        <f ca="1" t="shared" si="19"/>
        <v>-3.209238430557093E-17</v>
      </c>
    </row>
    <row r="82" spans="2:12" ht="13.5">
      <c r="B82">
        <f t="shared" si="20"/>
        <v>18.823529411764707</v>
      </c>
      <c r="C82" s="6">
        <f t="shared" si="21"/>
        <v>1.6251637708949205</v>
      </c>
      <c r="D82" s="6">
        <f ca="1" t="shared" si="12"/>
        <v>0.08393563201828896</v>
      </c>
      <c r="E82">
        <f t="shared" si="11"/>
        <v>18.911552314109453</v>
      </c>
      <c r="F82">
        <f t="shared" si="13"/>
        <v>10.72250221221777</v>
      </c>
      <c r="G82">
        <f ca="1" t="shared" si="14"/>
        <v>1.3830808299375383</v>
      </c>
      <c r="H82">
        <f t="shared" si="15"/>
        <v>0.0627854579610152</v>
      </c>
      <c r="I82">
        <f t="shared" si="16"/>
        <v>0.0023128395990483774</v>
      </c>
      <c r="J82">
        <f t="shared" si="17"/>
        <v>0</v>
      </c>
      <c r="K82" s="48">
        <f ca="1" t="shared" si="18"/>
        <v>2.6978419498391304E-14</v>
      </c>
      <c r="L82" s="48">
        <f ca="1" t="shared" si="19"/>
        <v>1.0191500421363742E-16</v>
      </c>
    </row>
    <row r="83" spans="2:12" ht="13.5">
      <c r="B83">
        <f t="shared" si="20"/>
        <v>18.970588235294116</v>
      </c>
      <c r="C83" s="6">
        <f t="shared" si="21"/>
        <v>1.6375072461917277</v>
      </c>
      <c r="D83" s="6">
        <f ca="1" t="shared" si="12"/>
        <v>0.08407003302167028</v>
      </c>
      <c r="E83">
        <f t="shared" si="11"/>
        <v>19.05559870081566</v>
      </c>
      <c r="F83">
        <f t="shared" si="13"/>
        <v>10.70536037220316</v>
      </c>
      <c r="G83">
        <f ca="1" t="shared" si="14"/>
        <v>1.3796676902894862</v>
      </c>
      <c r="H83">
        <f t="shared" si="15"/>
        <v>0.06509829756006358</v>
      </c>
      <c r="I83">
        <f t="shared" si="16"/>
        <v>0.002338581791552774</v>
      </c>
      <c r="J83">
        <f t="shared" si="17"/>
        <v>0</v>
      </c>
      <c r="K83" s="48">
        <f ca="1" t="shared" si="18"/>
        <v>-2.9976021664879227E-14</v>
      </c>
      <c r="L83" s="48">
        <f ca="1" t="shared" si="19"/>
        <v>3.469446951953614E-17</v>
      </c>
    </row>
    <row r="84" spans="2:12" ht="13.5">
      <c r="B84">
        <f t="shared" si="20"/>
        <v>19.11764705882353</v>
      </c>
      <c r="C84" s="6">
        <f t="shared" si="21"/>
        <v>1.6498704863419733</v>
      </c>
      <c r="D84" s="6">
        <f ca="1" t="shared" si="12"/>
        <v>0.08419635070196825</v>
      </c>
      <c r="E84">
        <f aca="true" t="shared" si="22" ref="E84:E115">B84*$B$9/$C$8+$B$15*C84</f>
        <v>19.199852192575403</v>
      </c>
      <c r="F84">
        <f t="shared" si="13"/>
        <v>10.689299387639146</v>
      </c>
      <c r="G84">
        <f ca="1" t="shared" si="14"/>
        <v>1.3762165619724833</v>
      </c>
      <c r="H84">
        <f t="shared" si="15"/>
        <v>0.06743687935161635</v>
      </c>
      <c r="I84">
        <f t="shared" si="16"/>
        <v>0.002363044032054451</v>
      </c>
      <c r="J84">
        <f t="shared" si="17"/>
        <v>0</v>
      </c>
      <c r="K84" s="48">
        <f ca="1" t="shared" si="18"/>
        <v>-8.992806499463768E-15</v>
      </c>
      <c r="L84" s="48">
        <f ca="1" t="shared" si="19"/>
        <v>-2.6454533008646308E-17</v>
      </c>
    </row>
    <row r="85" spans="2:12" ht="13.5">
      <c r="B85">
        <f t="shared" si="20"/>
        <v>19.264705882352942</v>
      </c>
      <c r="C85" s="6">
        <f t="shared" si="21"/>
        <v>1.6622523026216744</v>
      </c>
      <c r="D85" s="6">
        <f ca="1" t="shared" si="12"/>
        <v>0.08431453190012629</v>
      </c>
      <c r="E85">
        <f t="shared" si="22"/>
        <v>19.344300333402362</v>
      </c>
      <c r="F85">
        <f t="shared" si="13"/>
        <v>10.674316511251982</v>
      </c>
      <c r="G85">
        <f ca="1" t="shared" si="14"/>
        <v>1.372729333857219</v>
      </c>
      <c r="H85">
        <f t="shared" si="15"/>
        <v>0.0697999233836708</v>
      </c>
      <c r="I85">
        <f t="shared" si="16"/>
        <v>0.0023862709494696377</v>
      </c>
      <c r="J85">
        <f t="shared" si="17"/>
        <v>0</v>
      </c>
      <c r="K85" s="48">
        <f ca="1" t="shared" si="18"/>
        <v>-1.454392162258955E-14</v>
      </c>
      <c r="L85" s="48">
        <f ca="1" t="shared" si="19"/>
        <v>-1.0408340855860843E-16</v>
      </c>
    </row>
    <row r="86" spans="2:12" ht="13.5">
      <c r="B86">
        <f t="shared" si="20"/>
        <v>19.411764705882355</v>
      </c>
      <c r="C86" s="6">
        <f t="shared" si="21"/>
        <v>1.6746514984893401</v>
      </c>
      <c r="D86" s="6">
        <f aca="true" ca="1" t="shared" si="23" ref="D86:D117">(($B$3+$B$4)*C86-$B$4*IF(B86-$C$8&gt;$C$7,OFFSET(C86,-$C$12,0),$C$21))/($B$3*B86+$B$4*$C$7)</f>
        <v>0.084424523722883</v>
      </c>
      <c r="E86">
        <f t="shared" si="22"/>
        <v>19.488930585394833</v>
      </c>
      <c r="F86">
        <f aca="true" t="shared" si="24" ref="F86:F122">(1-$B$9/$C$8)/D86</f>
        <v>10.660409562441604</v>
      </c>
      <c r="G86">
        <f aca="true" ca="1" t="shared" si="25" ref="G86:G121">G87+$C$13*$B$4*(G87-IF(B87+$C$7&gt;$B$122,0,OFFSET(G87,$C$12,0)))/($B$3*B87+$B$4*$C$7)</f>
        <v>1.3692078289539042</v>
      </c>
      <c r="H86">
        <f aca="true" t="shared" si="26" ref="H86:H117">1-G86/$G$22</f>
        <v>0.07218619433314044</v>
      </c>
      <c r="I86">
        <f aca="true" t="shared" si="27" ref="I86:I117">H87-H86</f>
        <v>0.0024083055818364674</v>
      </c>
      <c r="J86">
        <f aca="true" t="shared" si="28" ref="J86:J122">$B$4*MAX($B$22+$C$7-B86,0)/($B$22-$B$20)</f>
        <v>0</v>
      </c>
      <c r="K86" s="48">
        <f aca="true" ca="1" t="shared" si="29" ref="K86:K121">(E87-E86)/(B87-B86)-(($B$3+$B$4)*E86-$B$4*IF(B86-$C$7&gt;$C$8,OFFSET(E86,-$C$12,0),$B$15+$B$9*(B86-$C$7)/$C$8))/($B$3*B86+$B$4*$C$7)</f>
        <v>2.7533531010703882E-14</v>
      </c>
      <c r="L86" s="48">
        <f aca="true" ca="1" t="shared" si="30" ref="L86:L121">-$C$13*$B$4*(H87-IF(B87+$C$7&gt;$B$122,1,OFFSET(H87,$C$12,0)))/($B$3*B87+$B$4*$C$7)-I86</f>
        <v>2.6454533008646308E-17</v>
      </c>
    </row>
    <row r="87" spans="2:12" ht="13.5">
      <c r="B87">
        <f aca="true" t="shared" si="31" ref="B87:B122">$B$22+$C$13*(ROW()-ROW($B$22))</f>
        <v>19.558823529411764</v>
      </c>
      <c r="C87" s="6">
        <f aca="true" t="shared" si="32" ref="C87:C122">C86+$C$13*D86</f>
        <v>1.6870668696250581</v>
      </c>
      <c r="D87" s="6">
        <f ca="1" t="shared" si="23"/>
        <v>0.08452627354012744</v>
      </c>
      <c r="E87">
        <f t="shared" si="22"/>
        <v>19.633730329145312</v>
      </c>
      <c r="F87">
        <f t="shared" si="24"/>
        <v>10.64757692852436</v>
      </c>
      <c r="G87">
        <f ca="1" t="shared" si="25"/>
        <v>1.365653806759986</v>
      </c>
      <c r="H87">
        <f t="shared" si="26"/>
        <v>0.07459449991497691</v>
      </c>
      <c r="I87">
        <f t="shared" si="27"/>
        <v>0.0024291894377231893</v>
      </c>
      <c r="J87">
        <f t="shared" si="28"/>
        <v>0</v>
      </c>
      <c r="K87" s="48">
        <f ca="1" t="shared" si="29"/>
        <v>-3.852473895449293E-14</v>
      </c>
      <c r="L87" s="48">
        <f ca="1" t="shared" si="30"/>
        <v>-6.5052130349130266E-18</v>
      </c>
    </row>
    <row r="88" spans="2:12" ht="13.5">
      <c r="B88">
        <f t="shared" si="31"/>
        <v>19.705882352941178</v>
      </c>
      <c r="C88" s="6">
        <f t="shared" si="32"/>
        <v>1.6994972039691945</v>
      </c>
      <c r="D88" s="6">
        <f ca="1" t="shared" si="23"/>
        <v>0.08461972898229399</v>
      </c>
      <c r="E88">
        <f t="shared" si="22"/>
        <v>19.778686864145982</v>
      </c>
      <c r="F88">
        <f t="shared" si="24"/>
        <v>10.635817566708562</v>
      </c>
      <c r="G88">
        <f ca="1" t="shared" si="25"/>
        <v>1.3620689655172409</v>
      </c>
      <c r="H88">
        <f t="shared" si="26"/>
        <v>0.0770236893527001</v>
      </c>
      <c r="I88">
        <f t="shared" si="27"/>
        <v>0.0090046469331444</v>
      </c>
      <c r="J88">
        <f t="shared" si="28"/>
        <v>0</v>
      </c>
      <c r="K88" s="48">
        <f ca="1" t="shared" si="29"/>
        <v>3.0531133177191805E-14</v>
      </c>
      <c r="L88" s="48">
        <f ca="1" t="shared" si="30"/>
        <v>0</v>
      </c>
    </row>
    <row r="89" spans="2:12" ht="13.5">
      <c r="B89">
        <f t="shared" si="31"/>
        <v>19.852941176470587</v>
      </c>
      <c r="C89" s="6">
        <f t="shared" si="32"/>
        <v>1.7119412817607083</v>
      </c>
      <c r="D89" s="6">
        <f ca="1" t="shared" si="23"/>
        <v>0.084704837937795</v>
      </c>
      <c r="E89">
        <f t="shared" si="22"/>
        <v>19.923787409190233</v>
      </c>
      <c r="F89">
        <f t="shared" si="24"/>
        <v>10.625131006813758</v>
      </c>
      <c r="G89">
        <f ca="1" t="shared" si="25"/>
        <v>1.3487804878048775</v>
      </c>
      <c r="H89">
        <f t="shared" si="26"/>
        <v>0.0860283362858445</v>
      </c>
      <c r="I89">
        <f t="shared" si="27"/>
        <v>0.008873511298195802</v>
      </c>
      <c r="J89">
        <f t="shared" si="28"/>
        <v>0</v>
      </c>
      <c r="K89" s="48">
        <f ca="1" t="shared" si="29"/>
        <v>-5.218048215738236E-15</v>
      </c>
      <c r="L89" s="48">
        <f ca="1" t="shared" si="30"/>
        <v>-1.1796119636642288E-16</v>
      </c>
    </row>
    <row r="90" spans="2:12" ht="13.5">
      <c r="B90">
        <f t="shared" si="31"/>
        <v>20</v>
      </c>
      <c r="C90" s="6">
        <f t="shared" si="32"/>
        <v>1.72439787557509</v>
      </c>
      <c r="D90" s="6">
        <f ca="1" t="shared" si="23"/>
        <v>0.08478154855049186</v>
      </c>
      <c r="E90">
        <f t="shared" si="22"/>
        <v>20.06901910277015</v>
      </c>
      <c r="F90">
        <f t="shared" si="24"/>
        <v>10.615517354746155</v>
      </c>
      <c r="G90">
        <f ca="1" t="shared" si="25"/>
        <v>1.335685531612597</v>
      </c>
      <c r="H90">
        <f t="shared" si="26"/>
        <v>0.0949018475840403</v>
      </c>
      <c r="I90">
        <f t="shared" si="27"/>
        <v>0.00874490968517827</v>
      </c>
      <c r="J90">
        <f t="shared" si="28"/>
        <v>0</v>
      </c>
      <c r="K90" s="48">
        <f ca="1" t="shared" si="29"/>
        <v>-2.3314683517128287E-15</v>
      </c>
      <c r="L90" s="48">
        <f ca="1" t="shared" si="30"/>
        <v>8.500145032286355E-17</v>
      </c>
    </row>
    <row r="91" spans="2:12" ht="13.5">
      <c r="B91">
        <f t="shared" si="31"/>
        <v>20.147058823529413</v>
      </c>
      <c r="C91" s="6">
        <f t="shared" si="32"/>
        <v>1.736865750361927</v>
      </c>
      <c r="D91" s="6">
        <f ca="1" t="shared" si="23"/>
        <v>0.08484980921720266</v>
      </c>
      <c r="E91">
        <f t="shared" si="22"/>
        <v>20.214369003470175</v>
      </c>
      <c r="F91">
        <f t="shared" si="24"/>
        <v>10.606977296744844</v>
      </c>
      <c r="G91">
        <f ca="1" t="shared" si="25"/>
        <v>1.322780357394118</v>
      </c>
      <c r="H91">
        <f t="shared" si="26"/>
        <v>0.10364675726921857</v>
      </c>
      <c r="I91">
        <f t="shared" si="27"/>
        <v>0.008618781180103618</v>
      </c>
      <c r="J91">
        <f t="shared" si="28"/>
        <v>0</v>
      </c>
      <c r="K91" s="48">
        <f ca="1" t="shared" si="29"/>
        <v>-1.1102230246251565E-14</v>
      </c>
      <c r="L91" s="48">
        <f ca="1" t="shared" si="30"/>
        <v>5.0306980803327406E-17</v>
      </c>
    </row>
    <row r="92" spans="2:12" ht="13.5">
      <c r="B92">
        <f t="shared" si="31"/>
        <v>20.294117647058826</v>
      </c>
      <c r="C92" s="6">
        <f t="shared" si="32"/>
        <v>1.7493436634821038</v>
      </c>
      <c r="D92" s="6">
        <f ca="1" t="shared" si="23"/>
        <v>0.08491524620972844</v>
      </c>
      <c r="E92">
        <f t="shared" si="22"/>
        <v>20.359824090356895</v>
      </c>
      <c r="F92">
        <f t="shared" si="24"/>
        <v>10.59880339717946</v>
      </c>
      <c r="G92">
        <f ca="1" t="shared" si="25"/>
        <v>1.3100613154960976</v>
      </c>
      <c r="H92">
        <f t="shared" si="26"/>
        <v>0.11226553844932219</v>
      </c>
      <c r="I92">
        <f t="shared" si="27"/>
        <v>0.008495066617709823</v>
      </c>
      <c r="J92">
        <f t="shared" si="28"/>
        <v>0</v>
      </c>
      <c r="K92" s="48">
        <f ca="1" t="shared" si="29"/>
        <v>-1.1213252548714081E-14</v>
      </c>
      <c r="L92" s="48">
        <f ca="1" t="shared" si="30"/>
        <v>0</v>
      </c>
    </row>
    <row r="93" spans="2:12" ht="13.5">
      <c r="B93">
        <f t="shared" si="31"/>
        <v>20.441176470588236</v>
      </c>
      <c r="C93" s="6">
        <f t="shared" si="32"/>
        <v>1.7618311996894167</v>
      </c>
      <c r="D93" s="6">
        <f ca="1" t="shared" si="23"/>
        <v>0.08497792327850395</v>
      </c>
      <c r="E93">
        <f t="shared" si="22"/>
        <v>20.505380012293198</v>
      </c>
      <c r="F93">
        <f t="shared" si="24"/>
        <v>10.590986049992873</v>
      </c>
      <c r="G93">
        <f ca="1" t="shared" si="25"/>
        <v>1.2975248435774747</v>
      </c>
      <c r="H93">
        <f t="shared" si="26"/>
        <v>0.12076060506703201</v>
      </c>
      <c r="I93">
        <f t="shared" si="27"/>
        <v>0.008373708523171097</v>
      </c>
      <c r="J93">
        <f t="shared" si="28"/>
        <v>0</v>
      </c>
      <c r="K93" s="48">
        <f ca="1" t="shared" si="29"/>
        <v>1.6986412276764895E-14</v>
      </c>
      <c r="L93" s="48">
        <f ca="1" t="shared" si="30"/>
        <v>2.7755575615628914E-17</v>
      </c>
    </row>
    <row r="94" spans="2:12" ht="13.5">
      <c r="B94">
        <f t="shared" si="31"/>
        <v>20.588235294117645</v>
      </c>
      <c r="C94" s="6">
        <f t="shared" si="32"/>
        <v>1.774327953112726</v>
      </c>
      <c r="D94" s="6">
        <f ca="1" t="shared" si="23"/>
        <v>0.08503790445543577</v>
      </c>
      <c r="E94">
        <f t="shared" si="22"/>
        <v>20.651032516378134</v>
      </c>
      <c r="F94">
        <f t="shared" si="24"/>
        <v>10.583515736463688</v>
      </c>
      <c r="G94">
        <f ca="1" t="shared" si="25"/>
        <v>1.285167464114832</v>
      </c>
      <c r="H94">
        <f t="shared" si="26"/>
        <v>0.1291343135902031</v>
      </c>
      <c r="I94">
        <f t="shared" si="27"/>
        <v>0.008254651056017082</v>
      </c>
      <c r="J94">
        <f t="shared" si="28"/>
        <v>0</v>
      </c>
      <c r="K94" s="48">
        <f ca="1" t="shared" si="29"/>
        <v>1.63202784619898E-14</v>
      </c>
      <c r="L94" s="48">
        <f ca="1" t="shared" si="30"/>
        <v>-5.0306980803327406E-17</v>
      </c>
    </row>
    <row r="95" spans="2:12" ht="13.5">
      <c r="B95">
        <f t="shared" si="31"/>
        <v>20.735294117647058</v>
      </c>
      <c r="C95" s="6">
        <f t="shared" si="32"/>
        <v>1.786833527297349</v>
      </c>
      <c r="D95" s="6">
        <f ca="1" t="shared" si="23"/>
        <v>0.08509525404784564</v>
      </c>
      <c r="E95">
        <f t="shared" si="22"/>
        <v>20.796777448380627</v>
      </c>
      <c r="F95">
        <f t="shared" si="24"/>
        <v>10.576383020067913</v>
      </c>
      <c r="G95">
        <f ca="1" t="shared" si="25"/>
        <v>1.2729857819905208</v>
      </c>
      <c r="H95">
        <f t="shared" si="26"/>
        <v>0.1373889646462202</v>
      </c>
      <c r="I95">
        <f t="shared" si="27"/>
        <v>0.008137839956167792</v>
      </c>
      <c r="J95">
        <f t="shared" si="28"/>
        <v>0</v>
      </c>
      <c r="K95" s="48">
        <f ca="1" t="shared" si="29"/>
        <v>-2.4424906541753444E-15</v>
      </c>
      <c r="L95" s="48">
        <f ca="1" t="shared" si="30"/>
        <v>-5.724587470723463E-17</v>
      </c>
    </row>
    <row r="96" spans="2:12" ht="13.5">
      <c r="B96">
        <f t="shared" si="31"/>
        <v>20.88235294117647</v>
      </c>
      <c r="C96" s="6">
        <f t="shared" si="32"/>
        <v>1.7993475352455617</v>
      </c>
      <c r="D96" s="6">
        <f ca="1" t="shared" si="23"/>
        <v>0.08515003663253912</v>
      </c>
      <c r="E96">
        <f t="shared" si="22"/>
        <v>20.942610753163883</v>
      </c>
      <c r="F96">
        <f t="shared" si="24"/>
        <v>10.56957854150911</v>
      </c>
      <c r="G96">
        <f ca="1" t="shared" si="25"/>
        <v>1.2609764821604215</v>
      </c>
      <c r="H96">
        <f t="shared" si="26"/>
        <v>0.14552680460238798</v>
      </c>
      <c r="I96">
        <f t="shared" si="27"/>
        <v>0.008023222491996385</v>
      </c>
      <c r="J96">
        <f t="shared" si="28"/>
        <v>0</v>
      </c>
      <c r="K96" s="48">
        <f ca="1" t="shared" si="29"/>
        <v>-1.4765966227514582E-14</v>
      </c>
      <c r="L96" s="48">
        <f ca="1" t="shared" si="30"/>
        <v>-2.7755575615628914E-17</v>
      </c>
    </row>
    <row r="97" spans="2:12" ht="13.5">
      <c r="B97">
        <f t="shared" si="31"/>
        <v>21.029411764705884</v>
      </c>
      <c r="C97" s="6">
        <f t="shared" si="32"/>
        <v>1.8118695994562293</v>
      </c>
      <c r="D97" s="6">
        <f ca="1" t="shared" si="23"/>
        <v>0.08520231704999533</v>
      </c>
      <c r="E97">
        <f t="shared" si="22"/>
        <v>21.08852847510066</v>
      </c>
      <c r="F97">
        <f t="shared" si="24"/>
        <v>10.563093013912928</v>
      </c>
      <c r="G97">
        <f ca="1" t="shared" si="25"/>
        <v>1.2491363273983518</v>
      </c>
      <c r="H97">
        <f t="shared" si="26"/>
        <v>0.15355002709438437</v>
      </c>
      <c r="I97">
        <f t="shared" si="27"/>
        <v>0.007910747410332819</v>
      </c>
      <c r="J97">
        <f t="shared" si="28"/>
        <v>0</v>
      </c>
      <c r="K97" s="48">
        <f ca="1" t="shared" si="29"/>
        <v>-6.328271240363392E-15</v>
      </c>
      <c r="L97" s="48">
        <f ca="1" t="shared" si="30"/>
        <v>3.8163916471489756E-17</v>
      </c>
    </row>
    <row r="98" spans="2:12" ht="13.5">
      <c r="B98">
        <f t="shared" si="31"/>
        <v>21.176470588235297</v>
      </c>
      <c r="C98" s="6">
        <f t="shared" si="32"/>
        <v>1.8243993519635815</v>
      </c>
      <c r="D98" s="6">
        <f ca="1" t="shared" si="23"/>
        <v>0.08525216039867609</v>
      </c>
      <c r="E98">
        <f t="shared" si="22"/>
        <v>21.234526758479568</v>
      </c>
      <c r="F98">
        <f t="shared" si="24"/>
        <v>10.556917218182033</v>
      </c>
      <c r="G98">
        <f ca="1" t="shared" si="25"/>
        <v>1.2374621561142551</v>
      </c>
      <c r="H98">
        <f t="shared" si="26"/>
        <v>0.16146077450471719</v>
      </c>
      <c r="I98">
        <f t="shared" si="27"/>
        <v>0.007800364888328137</v>
      </c>
      <c r="J98">
        <f t="shared" si="28"/>
        <v>0</v>
      </c>
      <c r="K98" s="48">
        <f ca="1" t="shared" si="29"/>
        <v>1.2434497875801753E-14</v>
      </c>
      <c r="L98" s="48">
        <f ca="1" t="shared" si="30"/>
        <v>7.632783294297951E-17</v>
      </c>
    </row>
    <row r="99" spans="2:12" ht="13.5">
      <c r="B99">
        <f t="shared" si="31"/>
        <v>21.323529411764707</v>
      </c>
      <c r="C99" s="6">
        <f t="shared" si="32"/>
        <v>1.8369364343751515</v>
      </c>
      <c r="D99" s="6">
        <f ca="1" t="shared" si="23"/>
        <v>0.0852996320294507</v>
      </c>
      <c r="E99">
        <f t="shared" si="22"/>
        <v>21.380601847902607</v>
      </c>
      <c r="F99">
        <f t="shared" si="24"/>
        <v>10.551041998507852</v>
      </c>
      <c r="G99">
        <f ca="1" t="shared" si="25"/>
        <v>1.225950880243425</v>
      </c>
      <c r="H99">
        <f t="shared" si="26"/>
        <v>0.16926113939304532</v>
      </c>
      <c r="I99">
        <f t="shared" si="27"/>
        <v>0.007692026487101433</v>
      </c>
      <c r="J99">
        <f t="shared" si="28"/>
        <v>0</v>
      </c>
      <c r="K99" s="48">
        <f ca="1" t="shared" si="29"/>
        <v>3.452793606584237E-14</v>
      </c>
      <c r="L99" s="48">
        <f ca="1" t="shared" si="30"/>
        <v>0</v>
      </c>
    </row>
    <row r="100" spans="2:12" ht="13.5">
      <c r="B100">
        <f t="shared" si="31"/>
        <v>21.470588235294116</v>
      </c>
      <c r="C100" s="6">
        <f t="shared" si="32"/>
        <v>1.8494804979088943</v>
      </c>
      <c r="D100" s="6">
        <f ca="1" t="shared" si="23"/>
        <v>0.08534479754013406</v>
      </c>
      <c r="E100">
        <f t="shared" si="22"/>
        <v>21.52675008867412</v>
      </c>
      <c r="F100">
        <f t="shared" si="24"/>
        <v>10.545458258035799</v>
      </c>
      <c r="G100">
        <f ca="1" t="shared" si="25"/>
        <v>1.214599483204134</v>
      </c>
      <c r="H100">
        <f t="shared" si="26"/>
        <v>0.17695316588014676</v>
      </c>
      <c r="I100">
        <f t="shared" si="27"/>
        <v>0.007585685107095341</v>
      </c>
      <c r="J100">
        <f t="shared" si="28"/>
        <v>0</v>
      </c>
      <c r="K100" s="48">
        <f ca="1" t="shared" si="29"/>
        <v>-3.8746783559417963E-14</v>
      </c>
      <c r="L100" s="48">
        <f ca="1" t="shared" si="30"/>
        <v>8.239936510889834E-17</v>
      </c>
    </row>
    <row r="101" spans="2:12" ht="13.5">
      <c r="B101">
        <f t="shared" si="31"/>
        <v>21.61764705882353</v>
      </c>
      <c r="C101" s="6">
        <f t="shared" si="32"/>
        <v>1.8620312034295023</v>
      </c>
      <c r="D101" s="6">
        <f ca="1" t="shared" si="23"/>
        <v>0.08538772277013543</v>
      </c>
      <c r="E101">
        <f t="shared" si="22"/>
        <v>21.672967927181304</v>
      </c>
      <c r="F101">
        <f t="shared" si="24"/>
        <v>10.540156954680812</v>
      </c>
      <c r="G101">
        <f ca="1" t="shared" si="25"/>
        <v>1.2034050179211466</v>
      </c>
      <c r="H101">
        <f t="shared" si="26"/>
        <v>0.1845388509872421</v>
      </c>
      <c r="I101">
        <f t="shared" si="27"/>
        <v>0.007481294945071215</v>
      </c>
      <c r="J101">
        <f t="shared" si="28"/>
        <v>0</v>
      </c>
      <c r="K101" s="48">
        <f ca="1" t="shared" si="29"/>
        <v>1.454392162258955E-14</v>
      </c>
      <c r="L101" s="48">
        <f ca="1" t="shared" si="30"/>
        <v>-4.2500725161431774E-17</v>
      </c>
    </row>
    <row r="102" spans="2:12" ht="13.5">
      <c r="B102">
        <f t="shared" si="31"/>
        <v>21.764705882352942</v>
      </c>
      <c r="C102" s="6">
        <f t="shared" si="32"/>
        <v>1.874588221483934</v>
      </c>
      <c r="D102" s="6">
        <f ca="1" t="shared" si="23"/>
        <v>0.08542847379521464</v>
      </c>
      <c r="E102">
        <f t="shared" si="22"/>
        <v>21.819251911266534</v>
      </c>
      <c r="F102">
        <f t="shared" si="24"/>
        <v>10.535129097090511</v>
      </c>
      <c r="G102">
        <f ca="1" t="shared" si="25"/>
        <v>1.1923646049126957</v>
      </c>
      <c r="H102">
        <f t="shared" si="26"/>
        <v>0.1920201459323133</v>
      </c>
      <c r="I102">
        <f t="shared" si="27"/>
        <v>0.00737881145267294</v>
      </c>
      <c r="J102">
        <f t="shared" si="28"/>
        <v>0</v>
      </c>
      <c r="K102" s="48">
        <f ca="1" t="shared" si="29"/>
        <v>-6.8833827526759706E-15</v>
      </c>
      <c r="L102" s="48">
        <f ca="1" t="shared" si="30"/>
        <v>0</v>
      </c>
    </row>
    <row r="103" spans="2:12" ht="13.5">
      <c r="B103">
        <f t="shared" si="31"/>
        <v>21.911764705882355</v>
      </c>
      <c r="C103" s="6">
        <f t="shared" si="32"/>
        <v>1.8871512323361714</v>
      </c>
      <c r="D103" s="6">
        <f ca="1" t="shared" si="23"/>
        <v>0.08546711692234461</v>
      </c>
      <c r="E103">
        <f t="shared" si="22"/>
        <v>21.965598690591516</v>
      </c>
      <c r="F103">
        <f t="shared" si="24"/>
        <v>10.530365740753133</v>
      </c>
      <c r="G103">
        <f ca="1" t="shared" si="25"/>
        <v>1.1814754304386073</v>
      </c>
      <c r="H103">
        <f t="shared" si="26"/>
        <v>0.19939895738498625</v>
      </c>
      <c r="I103">
        <f t="shared" si="27"/>
        <v>0.007278191296499981</v>
      </c>
      <c r="J103">
        <f t="shared" si="28"/>
        <v>0</v>
      </c>
      <c r="K103" s="48">
        <f ca="1" t="shared" si="29"/>
        <v>1.4765966227514582E-14</v>
      </c>
      <c r="L103" s="48">
        <f ca="1" t="shared" si="30"/>
        <v>1.465841337200402E-16</v>
      </c>
    </row>
    <row r="104" spans="2:12" ht="13.5">
      <c r="B104">
        <f t="shared" si="31"/>
        <v>22.058823529411764</v>
      </c>
      <c r="C104" s="6">
        <f t="shared" si="32"/>
        <v>1.899719926001222</v>
      </c>
      <c r="D104" s="6">
        <f ca="1" t="shared" si="23"/>
        <v>0.0855037186846756</v>
      </c>
      <c r="E104">
        <f t="shared" si="22"/>
        <v>22.112005016993617</v>
      </c>
      <c r="F104">
        <f t="shared" si="24"/>
        <v>10.525857984248146</v>
      </c>
      <c r="G104">
        <f ca="1" t="shared" si="25"/>
        <v>1.1707347447073473</v>
      </c>
      <c r="H104">
        <f t="shared" si="26"/>
        <v>0.20667714868148623</v>
      </c>
      <c r="I104">
        <f t="shared" si="27"/>
        <v>0.0071793923196245</v>
      </c>
      <c r="J104">
        <f t="shared" si="28"/>
        <v>0</v>
      </c>
      <c r="K104" s="48">
        <f ca="1" t="shared" si="29"/>
        <v>-1.887379141862766E-14</v>
      </c>
      <c r="L104" s="48">
        <f ca="1" t="shared" si="30"/>
        <v>5.984795992119984E-17</v>
      </c>
    </row>
    <row r="105" spans="2:12" ht="13.5">
      <c r="B105">
        <f t="shared" si="31"/>
        <v>22.205882352941178</v>
      </c>
      <c r="C105" s="6">
        <f t="shared" si="32"/>
        <v>1.9122940022783803</v>
      </c>
      <c r="D105" s="6">
        <f ca="1" t="shared" si="23"/>
        <v>0.08553834583660089</v>
      </c>
      <c r="E105">
        <f t="shared" si="22"/>
        <v>22.25846774483437</v>
      </c>
      <c r="F105">
        <f t="shared" si="24"/>
        <v>10.521596965637139</v>
      </c>
      <c r="G105">
        <f ca="1" t="shared" si="25"/>
        <v>1.16013986013986</v>
      </c>
      <c r="H105">
        <f t="shared" si="26"/>
        <v>0.21385654100111073</v>
      </c>
      <c r="I105">
        <f t="shared" si="27"/>
        <v>0.007082373504494588</v>
      </c>
      <c r="J105">
        <f t="shared" si="28"/>
        <v>0</v>
      </c>
      <c r="K105" s="48">
        <f ca="1" t="shared" si="29"/>
        <v>2.1316282072803006E-14</v>
      </c>
      <c r="L105" s="48">
        <f ca="1" t="shared" si="30"/>
        <v>-9.020562075079397E-17</v>
      </c>
    </row>
    <row r="106" spans="2:12" ht="13.5">
      <c r="B106">
        <f t="shared" si="31"/>
        <v>22.352941176470587</v>
      </c>
      <c r="C106" s="6">
        <f t="shared" si="32"/>
        <v>1.9248731707837627</v>
      </c>
      <c r="D106" s="6">
        <f ca="1" t="shared" si="23"/>
        <v>0.08557106534892008</v>
      </c>
      <c r="E106">
        <f t="shared" si="22"/>
        <v>22.40498383134041</v>
      </c>
      <c r="F106">
        <f t="shared" si="24"/>
        <v>10.517573858993194</v>
      </c>
      <c r="G106">
        <f ca="1" t="shared" si="25"/>
        <v>1.1496881496881495</v>
      </c>
      <c r="H106">
        <f t="shared" si="26"/>
        <v>0.22093891450560532</v>
      </c>
      <c r="I106">
        <f t="shared" si="27"/>
        <v>0.006987094937169536</v>
      </c>
      <c r="J106">
        <f t="shared" si="28"/>
        <v>0</v>
      </c>
      <c r="K106" s="48">
        <f ca="1" t="shared" si="29"/>
        <v>3.219646771412954E-15</v>
      </c>
      <c r="L106" s="48">
        <f ca="1" t="shared" si="30"/>
        <v>-7.719519468096792E-17</v>
      </c>
    </row>
    <row r="107" spans="2:12" ht="13.5">
      <c r="B107">
        <f t="shared" si="31"/>
        <v>22.5</v>
      </c>
      <c r="C107" s="6">
        <f t="shared" si="32"/>
        <v>1.9374571509821334</v>
      </c>
      <c r="D107" s="6">
        <f ca="1" t="shared" si="23"/>
        <v>0.0856019444040988</v>
      </c>
      <c r="E107">
        <f t="shared" si="22"/>
        <v>22.551550336936934</v>
      </c>
      <c r="F107">
        <f t="shared" si="24"/>
        <v>10.51377987106688</v>
      </c>
      <c r="G107">
        <f ca="1" t="shared" si="25"/>
        <v>1.1393770452066414</v>
      </c>
      <c r="H107">
        <f t="shared" si="26"/>
        <v>0.22792600944277486</v>
      </c>
      <c r="I107">
        <f t="shared" si="27"/>
        <v>0.006893517772832314</v>
      </c>
      <c r="J107">
        <f t="shared" si="28"/>
        <v>0</v>
      </c>
      <c r="K107" s="48">
        <f ca="1" t="shared" si="29"/>
        <v>-2.9976021664879227E-15</v>
      </c>
      <c r="L107" s="48">
        <f ca="1" t="shared" si="30"/>
        <v>5.377642775528102E-17</v>
      </c>
    </row>
    <row r="108" spans="2:12" ht="13.5">
      <c r="B108">
        <f t="shared" si="31"/>
        <v>22.647058823529413</v>
      </c>
      <c r="C108" s="6">
        <f t="shared" si="32"/>
        <v>1.9500456722180304</v>
      </c>
      <c r="D108" s="6">
        <f ca="1" t="shared" si="23"/>
        <v>0.08563105039162146</v>
      </c>
      <c r="E108">
        <f t="shared" si="22"/>
        <v>22.698164425573875</v>
      </c>
      <c r="F108">
        <f t="shared" si="24"/>
        <v>10.510206238087443</v>
      </c>
      <c r="G108">
        <f ca="1" t="shared" si="25"/>
        <v>1.1292040358744393</v>
      </c>
      <c r="H108">
        <f t="shared" si="26"/>
        <v>0.23481952721560717</v>
      </c>
      <c r="I108">
        <f t="shared" si="27"/>
        <v>0.0068016042025279555</v>
      </c>
      <c r="J108">
        <f t="shared" si="28"/>
        <v>0</v>
      </c>
      <c r="K108" s="48">
        <f ca="1" t="shared" si="29"/>
        <v>-2.475797344914099E-14</v>
      </c>
      <c r="L108" s="48">
        <f ca="1" t="shared" si="30"/>
        <v>-1.9081958235744878E-17</v>
      </c>
    </row>
    <row r="109" spans="2:12" ht="13.5">
      <c r="B109">
        <f t="shared" si="31"/>
        <v>22.794117647058826</v>
      </c>
      <c r="C109" s="6">
        <f t="shared" si="32"/>
        <v>1.96263847374621</v>
      </c>
      <c r="D109" s="6">
        <f ca="1" t="shared" si="23"/>
        <v>0.085658450903436</v>
      </c>
      <c r="E109">
        <f t="shared" si="22"/>
        <v>22.844823365044903</v>
      </c>
      <c r="F109">
        <f t="shared" si="24"/>
        <v>10.506844222697687</v>
      </c>
      <c r="G109">
        <f ca="1" t="shared" si="25"/>
        <v>1.1191666666666664</v>
      </c>
      <c r="H109">
        <f t="shared" si="26"/>
        <v>0.24162113141813513</v>
      </c>
      <c r="I109">
        <f t="shared" si="27"/>
        <v>0.006711317421078444</v>
      </c>
      <c r="J109">
        <f t="shared" si="28"/>
        <v>0</v>
      </c>
      <c r="K109" s="48">
        <f ca="1" t="shared" si="29"/>
        <v>1.1102230246251565E-15</v>
      </c>
      <c r="L109" s="48">
        <f ca="1" t="shared" si="30"/>
        <v>0</v>
      </c>
    </row>
    <row r="110" spans="2:12" ht="13.5">
      <c r="B110">
        <f t="shared" si="31"/>
        <v>22.941176470588236</v>
      </c>
      <c r="C110" s="6">
        <f t="shared" si="32"/>
        <v>1.975235304761421</v>
      </c>
      <c r="D110" s="6">
        <f ca="1" t="shared" si="23"/>
        <v>0.08568421372948806</v>
      </c>
      <c r="E110">
        <f t="shared" si="22"/>
        <v>22.99152452729942</v>
      </c>
      <c r="F110">
        <f t="shared" si="24"/>
        <v>10.50368511102141</v>
      </c>
      <c r="G110">
        <f ca="1" t="shared" si="25"/>
        <v>1.1092625368731561</v>
      </c>
      <c r="H110">
        <f t="shared" si="26"/>
        <v>0.24833244883921357</v>
      </c>
      <c r="I110">
        <f t="shared" si="27"/>
        <v>0.0066226215961302515</v>
      </c>
      <c r="J110">
        <f t="shared" si="28"/>
        <v>0</v>
      </c>
      <c r="K110" s="48">
        <f ca="1" t="shared" si="29"/>
        <v>3.652633751016765E-14</v>
      </c>
      <c r="L110" s="48">
        <f ca="1" t="shared" si="30"/>
        <v>2.688821387764051E-17</v>
      </c>
    </row>
    <row r="111" spans="2:12" ht="13.5">
      <c r="B111">
        <f t="shared" si="31"/>
        <v>23.088235294117645</v>
      </c>
      <c r="C111" s="6">
        <f t="shared" si="32"/>
        <v>1.9878359244275223</v>
      </c>
      <c r="D111" s="6">
        <f ca="1" t="shared" si="23"/>
        <v>0.0857084068533423</v>
      </c>
      <c r="E111">
        <f t="shared" si="22"/>
        <v>23.138265388747655</v>
      </c>
      <c r="F111">
        <f t="shared" si="24"/>
        <v>10.500720209862394</v>
      </c>
      <c r="G111">
        <f ca="1" t="shared" si="25"/>
        <v>1.09948929866282</v>
      </c>
      <c r="H111">
        <f t="shared" si="26"/>
        <v>0.2549550704353438</v>
      </c>
      <c r="I111">
        <f t="shared" si="27"/>
        <v>0.00653548183828645</v>
      </c>
      <c r="J111">
        <f t="shared" si="28"/>
        <v>0</v>
      </c>
      <c r="K111" s="48">
        <f ca="1" t="shared" si="29"/>
        <v>-6.5503158452884236E-15</v>
      </c>
      <c r="L111" s="48">
        <f ca="1" t="shared" si="30"/>
        <v>8.673617379884035E-18</v>
      </c>
    </row>
    <row r="112" spans="2:12" ht="13.5">
      <c r="B112">
        <f t="shared" si="31"/>
        <v>23.235294117647058</v>
      </c>
      <c r="C112" s="6">
        <f t="shared" si="32"/>
        <v>2.000440101905955</v>
      </c>
      <c r="D112" s="6">
        <f ca="1" t="shared" si="23"/>
        <v>0.08573109844788922</v>
      </c>
      <c r="E112">
        <f t="shared" si="22"/>
        <v>23.28504353055902</v>
      </c>
      <c r="F112">
        <f t="shared" si="24"/>
        <v>10.497940844034046</v>
      </c>
      <c r="G112">
        <f ca="1" t="shared" si="25"/>
        <v>1.0898446556920935</v>
      </c>
      <c r="H112">
        <f t="shared" si="26"/>
        <v>0.2614905522736303</v>
      </c>
      <c r="I112">
        <f t="shared" si="27"/>
        <v>0.00644986417228266</v>
      </c>
      <c r="J112">
        <f t="shared" si="28"/>
        <v>0</v>
      </c>
      <c r="K112" s="48">
        <f ca="1" t="shared" si="29"/>
        <v>-2.0095036745715333E-14</v>
      </c>
      <c r="L112" s="48">
        <f ca="1" t="shared" si="30"/>
        <v>4.597017211338539E-17</v>
      </c>
    </row>
    <row r="113" spans="2:12" ht="13.5">
      <c r="B113">
        <f t="shared" si="31"/>
        <v>23.38235294117647</v>
      </c>
      <c r="C113" s="6">
        <f t="shared" si="32"/>
        <v>2.0130476163835858</v>
      </c>
      <c r="D113" s="6">
        <f ca="1" t="shared" si="23"/>
        <v>0.08575235687113585</v>
      </c>
      <c r="E113">
        <f t="shared" si="22"/>
        <v>23.431856638953853</v>
      </c>
      <c r="F113">
        <f t="shared" si="24"/>
        <v>10.495338353818926</v>
      </c>
      <c r="G113">
        <f ca="1" t="shared" si="25"/>
        <v>1.080326361755918</v>
      </c>
      <c r="H113">
        <f t="shared" si="26"/>
        <v>0.26794041644591293</v>
      </c>
      <c r="I113">
        <f t="shared" si="27"/>
        <v>0.006365735509165971</v>
      </c>
      <c r="J113">
        <f t="shared" si="28"/>
        <v>0</v>
      </c>
      <c r="K113" s="48">
        <f ca="1" t="shared" si="29"/>
        <v>-1.9984014443252818E-14</v>
      </c>
      <c r="L113" s="48">
        <f ca="1" t="shared" si="30"/>
        <v>0</v>
      </c>
    </row>
    <row r="114" spans="2:12" ht="13.5">
      <c r="B114">
        <f t="shared" si="31"/>
        <v>23.529411764705884</v>
      </c>
      <c r="C114" s="6">
        <f t="shared" si="32"/>
        <v>2.0256582570999293</v>
      </c>
      <c r="D114" s="6">
        <f ca="1" t="shared" si="23"/>
        <v>0.0857722506620773</v>
      </c>
      <c r="E114">
        <f t="shared" si="22"/>
        <v>23.578702505488685</v>
      </c>
      <c r="F114">
        <f t="shared" si="24"/>
        <v>10.49290409255775</v>
      </c>
      <c r="G114">
        <f ca="1" t="shared" si="25"/>
        <v>1.0709322194797797</v>
      </c>
      <c r="H114">
        <f t="shared" si="26"/>
        <v>0.2743061519550789</v>
      </c>
      <c r="I114">
        <f t="shared" si="27"/>
        <v>0.006283063619436535</v>
      </c>
      <c r="J114">
        <f t="shared" si="28"/>
        <v>0</v>
      </c>
      <c r="K114" s="48">
        <f ca="1" t="shared" si="29"/>
        <v>1.2101430968414206E-14</v>
      </c>
      <c r="L114" s="48">
        <f ca="1" t="shared" si="30"/>
        <v>1.0408340855860843E-17</v>
      </c>
    </row>
    <row r="115" spans="2:12" ht="13.5">
      <c r="B115">
        <f t="shared" si="31"/>
        <v>23.676470588235297</v>
      </c>
      <c r="C115" s="6">
        <f t="shared" si="32"/>
        <v>2.0382718233737642</v>
      </c>
      <c r="D115" s="6">
        <f ca="1" t="shared" si="23"/>
        <v>0.08579084853664888</v>
      </c>
      <c r="E115">
        <f t="shared" si="22"/>
        <v>23.725579027335122</v>
      </c>
      <c r="F115">
        <f t="shared" si="24"/>
        <v>10.490629424367217</v>
      </c>
      <c r="G115">
        <f ca="1" t="shared" si="25"/>
        <v>1.0616600790513833</v>
      </c>
      <c r="H115">
        <f t="shared" si="26"/>
        <v>0.28058921557451544</v>
      </c>
      <c r="I115">
        <f t="shared" si="27"/>
        <v>0.006201817107116203</v>
      </c>
      <c r="J115">
        <f t="shared" si="28"/>
        <v>0</v>
      </c>
      <c r="K115" s="48">
        <f ca="1" t="shared" si="29"/>
        <v>4.218847493575595E-15</v>
      </c>
      <c r="L115" s="48">
        <f ca="1" t="shared" si="30"/>
        <v>4.423544863740858E-17</v>
      </c>
    </row>
    <row r="116" spans="2:12" ht="13.5">
      <c r="B116">
        <f t="shared" si="31"/>
        <v>23.823529411764707</v>
      </c>
      <c r="C116" s="6">
        <f t="shared" si="32"/>
        <v>2.0508881246291537</v>
      </c>
      <c r="D116" s="6">
        <f ca="1" t="shared" si="23"/>
        <v>0.08580821938375574</v>
      </c>
      <c r="E116">
        <f aca="true" t="shared" si="33" ref="E116:E122">B116*$B$9/$C$8+$B$15*C116</f>
        <v>23.87248420755249</v>
      </c>
      <c r="F116">
        <f t="shared" si="24"/>
        <v>10.48850572198656</v>
      </c>
      <c r="G116">
        <f ca="1" t="shared" si="25"/>
        <v>1.0525078369905956</v>
      </c>
      <c r="H116">
        <f t="shared" si="26"/>
        <v>0.28679103268163164</v>
      </c>
      <c r="I116">
        <f t="shared" si="27"/>
        <v>0.0061219653847071065</v>
      </c>
      <c r="J116">
        <f t="shared" si="28"/>
        <v>0</v>
      </c>
      <c r="K116" s="48">
        <f ca="1" t="shared" si="29"/>
        <v>3.8746783559417963E-14</v>
      </c>
      <c r="L116" s="48">
        <f ca="1" t="shared" si="30"/>
        <v>-8.153200337090993E-17</v>
      </c>
    </row>
    <row r="117" spans="2:12" ht="13.5">
      <c r="B117">
        <f t="shared" si="31"/>
        <v>23.970588235294116</v>
      </c>
      <c r="C117" s="6">
        <f t="shared" si="32"/>
        <v>2.0635069804208825</v>
      </c>
      <c r="D117" s="6">
        <f ca="1" t="shared" si="23"/>
        <v>0.08582443226137883</v>
      </c>
      <c r="E117">
        <f t="shared" si="33"/>
        <v>24.0194161553544</v>
      </c>
      <c r="F117">
        <f t="shared" si="24"/>
        <v>10.486524364752505</v>
      </c>
      <c r="G117">
        <f ca="1" t="shared" si="25"/>
        <v>1.0434734349563415</v>
      </c>
      <c r="H117">
        <f t="shared" si="26"/>
        <v>0.29291299806633875</v>
      </c>
      <c r="I117">
        <f t="shared" si="27"/>
        <v>0.0060434786490056736</v>
      </c>
      <c r="J117">
        <f t="shared" si="28"/>
        <v>0</v>
      </c>
      <c r="K117" s="48">
        <f ca="1" t="shared" si="29"/>
        <v>-1.4654943925052066E-14</v>
      </c>
      <c r="L117" s="48">
        <f ca="1" t="shared" si="30"/>
        <v>-2.168404344971009E-17</v>
      </c>
    </row>
    <row r="118" spans="2:12" ht="13.5">
      <c r="B118">
        <f t="shared" si="31"/>
        <v>24.11764705882353</v>
      </c>
      <c r="C118" s="6">
        <f t="shared" si="32"/>
        <v>2.0761282204593208</v>
      </c>
      <c r="D118" s="6">
        <f ca="1">(($B$3+$B$4)*C118-$B$4*IF(B118-$C$8&gt;$C$7,OFFSET(C118,-$C$12,0),$C$21))/($B$3*B118+$B$4*$C$7)</f>
        <v>0.08583955639275566</v>
      </c>
      <c r="E118">
        <f t="shared" si="33"/>
        <v>24.166373086369255</v>
      </c>
      <c r="F118">
        <f t="shared" si="24"/>
        <v>10.484676736702644</v>
      </c>
      <c r="G118">
        <f ca="1" t="shared" si="25"/>
        <v>1.0345548585891933</v>
      </c>
      <c r="H118">
        <f>1-G118/$G$22</f>
        <v>0.2989564767153444</v>
      </c>
      <c r="I118">
        <f>H119-H118</f>
        <v>0.005966327857741649</v>
      </c>
      <c r="J118">
        <f t="shared" si="28"/>
        <v>0</v>
      </c>
      <c r="K118" s="48">
        <f ca="1" t="shared" si="29"/>
        <v>2.9976021664879227E-15</v>
      </c>
      <c r="L118" s="48">
        <f ca="1" t="shared" si="30"/>
        <v>1.0148132334464322E-16</v>
      </c>
    </row>
    <row r="119" spans="2:12" ht="13.5">
      <c r="B119">
        <f t="shared" si="31"/>
        <v>24.264705882352942</v>
      </c>
      <c r="C119" s="6">
        <f t="shared" si="32"/>
        <v>2.088751684634726</v>
      </c>
      <c r="D119" s="6">
        <f ca="1">(($B$3+$B$4)*C119-$B$4*IF(B119-$C$8&gt;$C$7,OFFSET(C119,-$C$12,0),$C$21))/($B$3*B119+$B$4*$C$7)</f>
        <v>0.08585366116263367</v>
      </c>
      <c r="E119">
        <f t="shared" si="33"/>
        <v>24.313353322894933</v>
      </c>
      <c r="F119">
        <f t="shared" si="24"/>
        <v>10.482954224807242</v>
      </c>
      <c r="G119">
        <f ca="1" t="shared" si="25"/>
        <v>1.0257501363884343</v>
      </c>
      <c r="H119">
        <f>1-G119/$G$22</f>
        <v>0.30492280457308607</v>
      </c>
      <c r="I119">
        <f>H120-H119</f>
        <v>0.005890484707007704</v>
      </c>
      <c r="J119">
        <f t="shared" si="28"/>
        <v>0</v>
      </c>
      <c r="K119" s="48">
        <f ca="1" t="shared" si="29"/>
        <v>-1.9317880628477724E-14</v>
      </c>
      <c r="L119" s="48">
        <f ca="1" t="shared" si="30"/>
        <v>4.2500725161431774E-17</v>
      </c>
    </row>
    <row r="120" spans="2:12" ht="13.5">
      <c r="B120">
        <f t="shared" si="31"/>
        <v>24.411764705882355</v>
      </c>
      <c r="C120" s="6">
        <f t="shared" si="32"/>
        <v>2.1013772230409957</v>
      </c>
      <c r="D120" s="6">
        <f ca="1">(($B$3+$B$4)*C120-$B$4*IF(B120-$C$8&gt;$C$7,OFFSET(C120,-$C$12,0),$C$21))/($B$3*B120+$B$4*$C$7)</f>
        <v>0.08586681611359526</v>
      </c>
      <c r="E120">
        <f t="shared" si="33"/>
        <v>24.460355294147636</v>
      </c>
      <c r="F120">
        <f t="shared" si="24"/>
        <v>10.481348217329598</v>
      </c>
      <c r="G120">
        <f ca="1" t="shared" si="25"/>
        <v>1.0170573386224306</v>
      </c>
      <c r="H120">
        <f>1-G120/$G$22</f>
        <v>0.3108132892800938</v>
      </c>
      <c r="I120">
        <f>H121-H120</f>
        <v>0.005815921609450769</v>
      </c>
      <c r="J120">
        <f t="shared" si="28"/>
        <v>0</v>
      </c>
      <c r="K120" s="48">
        <f ca="1" t="shared" si="29"/>
        <v>2.453592884421596E-14</v>
      </c>
      <c r="L120" s="48">
        <f ca="1" t="shared" si="30"/>
        <v>-8.500145032286355E-17</v>
      </c>
    </row>
    <row r="121" spans="2:12" ht="13.5">
      <c r="B121">
        <f t="shared" si="31"/>
        <v>24.558823529411764</v>
      </c>
      <c r="C121" s="6">
        <f t="shared" si="32"/>
        <v>2.114004695998877</v>
      </c>
      <c r="D121" s="6">
        <f ca="1">(($B$3+$B$4)*C121-$B$4*IF(B121-$C$8&gt;$C$7,OFFSET(C121,-$C$12,0),$C$21))/($B$3*B121+$B$4*$C$7)</f>
        <v>0.08587909094245237</v>
      </c>
      <c r="E121">
        <f t="shared" si="33"/>
        <v>24.60737753650513</v>
      </c>
      <c r="F121">
        <f t="shared" si="24"/>
        <v>10.479850102315249</v>
      </c>
      <c r="G121">
        <f ca="1" t="shared" si="25"/>
        <v>1.0084745762711864</v>
      </c>
      <c r="H121">
        <f>1-G121/$G$22</f>
        <v>0.31662921088954454</v>
      </c>
      <c r="I121">
        <f>H122-H121</f>
        <v>0.005742611673197007</v>
      </c>
      <c r="J121">
        <f t="shared" si="28"/>
        <v>0</v>
      </c>
      <c r="K121" s="48">
        <f ca="1" t="shared" si="29"/>
        <v>-8.992806499463768E-15</v>
      </c>
      <c r="L121" s="48">
        <f ca="1" t="shared" si="30"/>
        <v>9.8879238130678E-17</v>
      </c>
    </row>
    <row r="122" spans="1:13" ht="13.5">
      <c r="A122" s="7" t="s">
        <v>579</v>
      </c>
      <c r="B122">
        <f t="shared" si="31"/>
        <v>24.705882352941178</v>
      </c>
      <c r="C122" s="6">
        <f t="shared" si="32"/>
        <v>2.1266339740786497</v>
      </c>
      <c r="D122" s="6">
        <f ca="1">(($B$3+$B$4)*C122-$B$4*IF(B122-$C$8&gt;$C$7,OFFSET(C122,-$C$12,0),$C$21))/($B$3*B122+$B$4*$C$7)</f>
        <v>0.08589055549670936</v>
      </c>
      <c r="E122">
        <f t="shared" si="33"/>
        <v>24.754418693744384</v>
      </c>
      <c r="F122">
        <f t="shared" si="24"/>
        <v>10.478451266210298</v>
      </c>
      <c r="G122" s="24">
        <v>1</v>
      </c>
      <c r="H122">
        <f>1-G122/$G$22</f>
        <v>0.32237182256274155</v>
      </c>
      <c r="I122">
        <f>H123-H122</f>
        <v>0.6776281774372584</v>
      </c>
      <c r="J122">
        <f t="shared" si="28"/>
        <v>0</v>
      </c>
      <c r="K122" s="45">
        <f ca="1">1-(($B$3+$B$4)*E122-$B$4*IF(B122-$C$7&gt;$C$8,OFFSET(E122,-$C$12,0),$B$15+$B$9*(B122-$C$7)/$C$8))/($B$3*B122+$B$4*$C$7)</f>
        <v>0</v>
      </c>
      <c r="L122" s="50">
        <f>(E122-E121)/(B122-B121)-1</f>
        <v>-0.00012013077307959641</v>
      </c>
      <c r="M122" s="48"/>
    </row>
    <row r="123" spans="2:8" ht="13.5">
      <c r="B123" s="24">
        <f>B122</f>
        <v>24.705882352941178</v>
      </c>
      <c r="D123" s="24">
        <f>D122</f>
        <v>0.08589055549670936</v>
      </c>
      <c r="H123" s="24">
        <v>1</v>
      </c>
    </row>
    <row r="124" spans="2:11" ht="13.5">
      <c r="B124" s="1" t="s">
        <v>592</v>
      </c>
      <c r="C124" s="1" t="s">
        <v>621</v>
      </c>
      <c r="D124" s="1" t="s">
        <v>622</v>
      </c>
      <c r="E124" s="1" t="s">
        <v>593</v>
      </c>
      <c r="F124" t="s">
        <v>594</v>
      </c>
      <c r="G124" s="3" t="s">
        <v>597</v>
      </c>
      <c r="H124" s="1" t="s">
        <v>595</v>
      </c>
      <c r="I124" s="3" t="s">
        <v>596</v>
      </c>
      <c r="J124" s="3" t="s">
        <v>598</v>
      </c>
      <c r="K124" s="44" t="s">
        <v>588</v>
      </c>
    </row>
  </sheetData>
  <printOptions gridLines="1" headings="1"/>
  <pageMargins left="1" right="1" top="0.75" bottom="0.75" header="0.5" footer="0.5"/>
  <pageSetup horizontalDpi="600" verticalDpi="600" orientation="landscape" r:id="rId2"/>
  <rowBreaks count="1" manualBreakCount="1">
    <brk id="54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16"/>
  <sheetViews>
    <sheetView workbookViewId="0" topLeftCell="A1">
      <selection activeCell="A1" sqref="A1"/>
    </sheetView>
  </sheetViews>
  <sheetFormatPr defaultColWidth="9.00390625" defaultRowHeight="13.5"/>
  <cols>
    <col min="1" max="1" width="5.875" style="0" customWidth="1"/>
    <col min="2" max="3" width="8.875" style="0" customWidth="1"/>
    <col min="4" max="4" width="2.625" style="0" customWidth="1"/>
    <col min="5" max="6" width="8.875" style="0" customWidth="1"/>
    <col min="7" max="7" width="2.625" style="0" customWidth="1"/>
    <col min="8" max="16384" width="8.875" style="0" customWidth="1"/>
  </cols>
  <sheetData>
    <row r="1" spans="1:2" ht="13.5">
      <c r="A1">
        <f>COUNT(B4:B9)</f>
        <v>6</v>
      </c>
      <c r="B1" t="s">
        <v>153</v>
      </c>
    </row>
    <row r="2" spans="2:6" ht="13.5">
      <c r="B2" s="1" t="s">
        <v>154</v>
      </c>
      <c r="E2" s="8">
        <v>0.5</v>
      </c>
      <c r="F2" s="1" t="s">
        <v>155</v>
      </c>
    </row>
    <row r="3" spans="2:6" ht="13.5">
      <c r="B3" s="7" t="s">
        <v>156</v>
      </c>
      <c r="C3" s="7" t="s">
        <v>157</v>
      </c>
      <c r="E3" s="7" t="s">
        <v>158</v>
      </c>
      <c r="F3" s="7" t="s">
        <v>159</v>
      </c>
    </row>
    <row r="4" spans="1:6" ht="13.5">
      <c r="A4" s="11" t="s">
        <v>160</v>
      </c>
      <c r="B4" s="11">
        <f aca="true" t="shared" si="0" ref="B4:B9">ROW()-ROW($B$3)</f>
        <v>1</v>
      </c>
      <c r="C4">
        <v>1</v>
      </c>
      <c r="E4">
        <v>1</v>
      </c>
      <c r="F4">
        <f aca="true" t="shared" si="1" ref="F4:F9">E4*$E$2^($A$1-B4)*(1-$E$2)^(B4-1)*C4</f>
        <v>0.03125</v>
      </c>
    </row>
    <row r="5" spans="2:6" ht="13.5">
      <c r="B5" s="11">
        <f t="shared" si="0"/>
        <v>2</v>
      </c>
      <c r="C5" s="2">
        <v>0</v>
      </c>
      <c r="E5">
        <f>E4*($A$1-B4)/B4</f>
        <v>5</v>
      </c>
      <c r="F5">
        <f t="shared" si="1"/>
        <v>0</v>
      </c>
    </row>
    <row r="6" spans="2:6" ht="13.5">
      <c r="B6" s="11">
        <f t="shared" si="0"/>
        <v>3</v>
      </c>
      <c r="C6" s="4">
        <v>0</v>
      </c>
      <c r="E6">
        <f>E5*($A$1-B5)/B5</f>
        <v>10</v>
      </c>
      <c r="F6">
        <f t="shared" si="1"/>
        <v>0</v>
      </c>
    </row>
    <row r="7" spans="2:6" ht="13.5">
      <c r="B7" s="11">
        <f t="shared" si="0"/>
        <v>4</v>
      </c>
      <c r="C7" s="4">
        <v>0</v>
      </c>
      <c r="E7">
        <f>E6*($A$1-B6)/B6</f>
        <v>10</v>
      </c>
      <c r="F7">
        <f t="shared" si="1"/>
        <v>0</v>
      </c>
    </row>
    <row r="8" spans="2:6" ht="13.5">
      <c r="B8" s="11">
        <f t="shared" si="0"/>
        <v>5</v>
      </c>
      <c r="C8" s="5">
        <v>0</v>
      </c>
      <c r="E8">
        <f>E7*($A$1-B7)/B7</f>
        <v>5</v>
      </c>
      <c r="F8">
        <f t="shared" si="1"/>
        <v>0</v>
      </c>
    </row>
    <row r="9" spans="1:6" ht="13.5">
      <c r="A9" s="11" t="s">
        <v>161</v>
      </c>
      <c r="B9" s="11">
        <f t="shared" si="0"/>
        <v>6</v>
      </c>
      <c r="C9">
        <v>0</v>
      </c>
      <c r="E9">
        <f>E8*($A$1-B8)/B8</f>
        <v>1</v>
      </c>
      <c r="F9">
        <f t="shared" si="1"/>
        <v>0</v>
      </c>
    </row>
    <row r="10" spans="3:5" ht="13.5">
      <c r="C10" s="7" t="s">
        <v>162</v>
      </c>
      <c r="E10" s="1" t="s">
        <v>163</v>
      </c>
    </row>
    <row r="11" spans="3:5" ht="13.5">
      <c r="C11">
        <f>AVERAGE(C4:C9)</f>
        <v>0.16666666666666666</v>
      </c>
      <c r="E11" s="1" t="s">
        <v>164</v>
      </c>
    </row>
    <row r="12" spans="5:6" ht="13.5">
      <c r="E12" s="8">
        <f>SUM(F4:F9)/C11</f>
        <v>0.1875</v>
      </c>
      <c r="F12" t="s">
        <v>165</v>
      </c>
    </row>
    <row r="13" spans="2:3" ht="13.5">
      <c r="B13" s="7"/>
      <c r="C13" s="7"/>
    </row>
    <row r="14" ht="13.5">
      <c r="H14" t="s">
        <v>166</v>
      </c>
    </row>
    <row r="15" spans="5:9" ht="13.5">
      <c r="E15" s="7" t="s">
        <v>167</v>
      </c>
      <c r="F15" s="7" t="s">
        <v>20</v>
      </c>
      <c r="G15" s="7"/>
      <c r="H15" t="s">
        <v>20</v>
      </c>
      <c r="I15" t="s">
        <v>168</v>
      </c>
    </row>
    <row r="16" spans="5:9" ht="13.5">
      <c r="E16" s="11" t="s">
        <v>169</v>
      </c>
      <c r="F16">
        <f>E12</f>
        <v>0.1875</v>
      </c>
      <c r="H16" s="24">
        <v>0</v>
      </c>
      <c r="I16" s="24">
        <v>0</v>
      </c>
    </row>
    <row r="17" spans="5:9" ht="13.5">
      <c r="E17">
        <v>0.005</v>
      </c>
      <c r="F17" s="2"/>
      <c r="H17" t="e">
        <f aca="true" t="shared" si="2" ref="H17:H48">AVERAGE(F17:F18)</f>
        <v>#DIV/0!</v>
      </c>
      <c r="I17" t="e">
        <f aca="true" t="shared" si="3" ref="I17:I48">(E18-E17)/(F18-F17)</f>
        <v>#DIV/0!</v>
      </c>
    </row>
    <row r="18" spans="5:9" ht="13.5">
      <c r="E18">
        <v>0.015</v>
      </c>
      <c r="F18" s="4"/>
      <c r="H18" t="e">
        <f t="shared" si="2"/>
        <v>#DIV/0!</v>
      </c>
      <c r="I18" t="e">
        <f t="shared" si="3"/>
        <v>#DIV/0!</v>
      </c>
    </row>
    <row r="19" spans="5:9" ht="13.5">
      <c r="E19">
        <v>0.025</v>
      </c>
      <c r="F19" s="4"/>
      <c r="H19" t="e">
        <f t="shared" si="2"/>
        <v>#DIV/0!</v>
      </c>
      <c r="I19" t="e">
        <f t="shared" si="3"/>
        <v>#DIV/0!</v>
      </c>
    </row>
    <row r="20" spans="5:9" ht="13.5">
      <c r="E20">
        <v>0.035</v>
      </c>
      <c r="F20" s="4"/>
      <c r="H20" t="e">
        <f t="shared" si="2"/>
        <v>#DIV/0!</v>
      </c>
      <c r="I20" t="e">
        <f t="shared" si="3"/>
        <v>#DIV/0!</v>
      </c>
    </row>
    <row r="21" spans="5:9" ht="13.5">
      <c r="E21">
        <v>0.045</v>
      </c>
      <c r="F21" s="4"/>
      <c r="H21" t="e">
        <f t="shared" si="2"/>
        <v>#DIV/0!</v>
      </c>
      <c r="I21" t="e">
        <f t="shared" si="3"/>
        <v>#DIV/0!</v>
      </c>
    </row>
    <row r="22" spans="5:9" ht="13.5">
      <c r="E22">
        <v>0.055</v>
      </c>
      <c r="F22" s="4"/>
      <c r="H22" t="e">
        <f t="shared" si="2"/>
        <v>#DIV/0!</v>
      </c>
      <c r="I22" t="e">
        <f t="shared" si="3"/>
        <v>#DIV/0!</v>
      </c>
    </row>
    <row r="23" spans="5:9" ht="13.5">
      <c r="E23">
        <v>0.065</v>
      </c>
      <c r="F23" s="4"/>
      <c r="H23" t="e">
        <f t="shared" si="2"/>
        <v>#DIV/0!</v>
      </c>
      <c r="I23" t="e">
        <f t="shared" si="3"/>
        <v>#DIV/0!</v>
      </c>
    </row>
    <row r="24" spans="5:9" ht="13.5">
      <c r="E24">
        <v>0.075</v>
      </c>
      <c r="F24" s="4"/>
      <c r="H24" t="e">
        <f t="shared" si="2"/>
        <v>#DIV/0!</v>
      </c>
      <c r="I24" t="e">
        <f t="shared" si="3"/>
        <v>#DIV/0!</v>
      </c>
    </row>
    <row r="25" spans="5:9" ht="13.5">
      <c r="E25">
        <v>0.085</v>
      </c>
      <c r="F25" s="4"/>
      <c r="H25" t="e">
        <f t="shared" si="2"/>
        <v>#DIV/0!</v>
      </c>
      <c r="I25" t="e">
        <f t="shared" si="3"/>
        <v>#DIV/0!</v>
      </c>
    </row>
    <row r="26" spans="5:9" ht="13.5">
      <c r="E26">
        <v>0.095</v>
      </c>
      <c r="F26" s="4"/>
      <c r="H26" t="e">
        <f t="shared" si="2"/>
        <v>#DIV/0!</v>
      </c>
      <c r="I26" t="e">
        <f t="shared" si="3"/>
        <v>#DIV/0!</v>
      </c>
    </row>
    <row r="27" spans="5:9" ht="13.5">
      <c r="E27">
        <v>0.105</v>
      </c>
      <c r="F27" s="4"/>
      <c r="H27" t="e">
        <f t="shared" si="2"/>
        <v>#DIV/0!</v>
      </c>
      <c r="I27" t="e">
        <f t="shared" si="3"/>
        <v>#DIV/0!</v>
      </c>
    </row>
    <row r="28" spans="5:9" ht="13.5">
      <c r="E28">
        <v>0.115</v>
      </c>
      <c r="F28" s="4"/>
      <c r="H28" t="e">
        <f t="shared" si="2"/>
        <v>#DIV/0!</v>
      </c>
      <c r="I28" t="e">
        <f t="shared" si="3"/>
        <v>#DIV/0!</v>
      </c>
    </row>
    <row r="29" spans="5:9" ht="13.5">
      <c r="E29">
        <v>0.125</v>
      </c>
      <c r="F29" s="4"/>
      <c r="H29" t="e">
        <f t="shared" si="2"/>
        <v>#DIV/0!</v>
      </c>
      <c r="I29" t="e">
        <f t="shared" si="3"/>
        <v>#DIV/0!</v>
      </c>
    </row>
    <row r="30" spans="5:9" ht="13.5">
      <c r="E30">
        <v>0.135</v>
      </c>
      <c r="F30" s="4"/>
      <c r="H30" t="e">
        <f t="shared" si="2"/>
        <v>#DIV/0!</v>
      </c>
      <c r="I30" t="e">
        <f t="shared" si="3"/>
        <v>#DIV/0!</v>
      </c>
    </row>
    <row r="31" spans="5:9" ht="13.5">
      <c r="E31">
        <v>0.145</v>
      </c>
      <c r="F31" s="4"/>
      <c r="H31" t="e">
        <f t="shared" si="2"/>
        <v>#DIV/0!</v>
      </c>
      <c r="I31" t="e">
        <f t="shared" si="3"/>
        <v>#DIV/0!</v>
      </c>
    </row>
    <row r="32" spans="5:9" ht="13.5">
      <c r="E32">
        <v>0.155</v>
      </c>
      <c r="F32" s="4"/>
      <c r="H32" t="e">
        <f t="shared" si="2"/>
        <v>#DIV/0!</v>
      </c>
      <c r="I32" t="e">
        <f t="shared" si="3"/>
        <v>#DIV/0!</v>
      </c>
    </row>
    <row r="33" spans="5:9" ht="13.5">
      <c r="E33">
        <v>0.165</v>
      </c>
      <c r="F33" s="4"/>
      <c r="H33" t="e">
        <f t="shared" si="2"/>
        <v>#DIV/0!</v>
      </c>
      <c r="I33" t="e">
        <f t="shared" si="3"/>
        <v>#DIV/0!</v>
      </c>
    </row>
    <row r="34" spans="5:9" ht="13.5">
      <c r="E34">
        <v>0.175</v>
      </c>
      <c r="F34" s="4"/>
      <c r="H34" t="e">
        <f t="shared" si="2"/>
        <v>#DIV/0!</v>
      </c>
      <c r="I34" t="e">
        <f t="shared" si="3"/>
        <v>#DIV/0!</v>
      </c>
    </row>
    <row r="35" spans="5:9" ht="13.5">
      <c r="E35">
        <v>0.185</v>
      </c>
      <c r="F35" s="4"/>
      <c r="H35" t="e">
        <f t="shared" si="2"/>
        <v>#DIV/0!</v>
      </c>
      <c r="I35" t="e">
        <f t="shared" si="3"/>
        <v>#DIV/0!</v>
      </c>
    </row>
    <row r="36" spans="5:9" ht="13.5">
      <c r="E36">
        <v>0.195</v>
      </c>
      <c r="F36" s="4"/>
      <c r="H36" t="e">
        <f t="shared" si="2"/>
        <v>#DIV/0!</v>
      </c>
      <c r="I36" t="e">
        <f t="shared" si="3"/>
        <v>#DIV/0!</v>
      </c>
    </row>
    <row r="37" spans="5:9" ht="13.5">
      <c r="E37">
        <v>0.205</v>
      </c>
      <c r="F37" s="4"/>
      <c r="H37" t="e">
        <f t="shared" si="2"/>
        <v>#DIV/0!</v>
      </c>
      <c r="I37" t="e">
        <f t="shared" si="3"/>
        <v>#DIV/0!</v>
      </c>
    </row>
    <row r="38" spans="5:9" ht="13.5">
      <c r="E38">
        <v>0.215</v>
      </c>
      <c r="F38" s="4"/>
      <c r="H38" t="e">
        <f t="shared" si="2"/>
        <v>#DIV/0!</v>
      </c>
      <c r="I38" t="e">
        <f t="shared" si="3"/>
        <v>#DIV/0!</v>
      </c>
    </row>
    <row r="39" spans="5:9" ht="13.5">
      <c r="E39">
        <v>0.225</v>
      </c>
      <c r="F39" s="4"/>
      <c r="H39" t="e">
        <f t="shared" si="2"/>
        <v>#DIV/0!</v>
      </c>
      <c r="I39" t="e">
        <f t="shared" si="3"/>
        <v>#DIV/0!</v>
      </c>
    </row>
    <row r="40" spans="5:9" ht="13.5">
      <c r="E40">
        <v>0.235</v>
      </c>
      <c r="F40" s="4"/>
      <c r="H40" t="e">
        <f t="shared" si="2"/>
        <v>#DIV/0!</v>
      </c>
      <c r="I40" t="e">
        <f t="shared" si="3"/>
        <v>#DIV/0!</v>
      </c>
    </row>
    <row r="41" spans="5:9" ht="13.5">
      <c r="E41">
        <v>0.245</v>
      </c>
      <c r="F41" s="4"/>
      <c r="H41" t="e">
        <f t="shared" si="2"/>
        <v>#DIV/0!</v>
      </c>
      <c r="I41" t="e">
        <f t="shared" si="3"/>
        <v>#DIV/0!</v>
      </c>
    </row>
    <row r="42" spans="5:9" ht="13.5">
      <c r="E42">
        <v>0.255</v>
      </c>
      <c r="F42" s="4"/>
      <c r="H42" t="e">
        <f t="shared" si="2"/>
        <v>#DIV/0!</v>
      </c>
      <c r="I42" t="e">
        <f t="shared" si="3"/>
        <v>#DIV/0!</v>
      </c>
    </row>
    <row r="43" spans="5:9" ht="13.5">
      <c r="E43">
        <v>0.265</v>
      </c>
      <c r="F43" s="4"/>
      <c r="H43" t="e">
        <f t="shared" si="2"/>
        <v>#DIV/0!</v>
      </c>
      <c r="I43" t="e">
        <f t="shared" si="3"/>
        <v>#DIV/0!</v>
      </c>
    </row>
    <row r="44" spans="5:9" ht="13.5">
      <c r="E44">
        <v>0.275</v>
      </c>
      <c r="F44" s="4"/>
      <c r="H44" t="e">
        <f t="shared" si="2"/>
        <v>#DIV/0!</v>
      </c>
      <c r="I44" t="e">
        <f t="shared" si="3"/>
        <v>#DIV/0!</v>
      </c>
    </row>
    <row r="45" spans="5:9" ht="13.5">
      <c r="E45">
        <v>0.285</v>
      </c>
      <c r="F45" s="4"/>
      <c r="H45" t="e">
        <f t="shared" si="2"/>
        <v>#DIV/0!</v>
      </c>
      <c r="I45" t="e">
        <f t="shared" si="3"/>
        <v>#DIV/0!</v>
      </c>
    </row>
    <row r="46" spans="5:9" ht="13.5">
      <c r="E46">
        <v>0.295</v>
      </c>
      <c r="F46" s="4"/>
      <c r="H46" t="e">
        <f t="shared" si="2"/>
        <v>#DIV/0!</v>
      </c>
      <c r="I46" t="e">
        <f t="shared" si="3"/>
        <v>#DIV/0!</v>
      </c>
    </row>
    <row r="47" spans="5:9" ht="13.5">
      <c r="E47">
        <v>0.305</v>
      </c>
      <c r="F47" s="4"/>
      <c r="H47" t="e">
        <f t="shared" si="2"/>
        <v>#DIV/0!</v>
      </c>
      <c r="I47" t="e">
        <f t="shared" si="3"/>
        <v>#DIV/0!</v>
      </c>
    </row>
    <row r="48" spans="5:9" ht="13.5">
      <c r="E48">
        <v>0.315</v>
      </c>
      <c r="F48" s="4"/>
      <c r="H48" t="e">
        <f t="shared" si="2"/>
        <v>#DIV/0!</v>
      </c>
      <c r="I48" t="e">
        <f t="shared" si="3"/>
        <v>#DIV/0!</v>
      </c>
    </row>
    <row r="49" spans="5:9" ht="13.5">
      <c r="E49">
        <v>0.325</v>
      </c>
      <c r="F49" s="4"/>
      <c r="H49" t="e">
        <f aca="true" t="shared" si="4" ref="H49:H80">AVERAGE(F49:F50)</f>
        <v>#DIV/0!</v>
      </c>
      <c r="I49" t="e">
        <f aca="true" t="shared" si="5" ref="I49:I80">(E50-E49)/(F50-F49)</f>
        <v>#DIV/0!</v>
      </c>
    </row>
    <row r="50" spans="5:9" ht="13.5">
      <c r="E50">
        <v>0.335</v>
      </c>
      <c r="F50" s="4"/>
      <c r="H50" t="e">
        <f t="shared" si="4"/>
        <v>#DIV/0!</v>
      </c>
      <c r="I50" t="e">
        <f t="shared" si="5"/>
        <v>#DIV/0!</v>
      </c>
    </row>
    <row r="51" spans="5:9" ht="13.5">
      <c r="E51">
        <v>0.345</v>
      </c>
      <c r="F51" s="4"/>
      <c r="H51" t="e">
        <f t="shared" si="4"/>
        <v>#DIV/0!</v>
      </c>
      <c r="I51" t="e">
        <f t="shared" si="5"/>
        <v>#DIV/0!</v>
      </c>
    </row>
    <row r="52" spans="5:9" ht="13.5">
      <c r="E52">
        <v>0.355</v>
      </c>
      <c r="F52" s="4"/>
      <c r="H52" t="e">
        <f t="shared" si="4"/>
        <v>#DIV/0!</v>
      </c>
      <c r="I52" t="e">
        <f t="shared" si="5"/>
        <v>#DIV/0!</v>
      </c>
    </row>
    <row r="53" spans="5:9" ht="13.5">
      <c r="E53">
        <v>0.365</v>
      </c>
      <c r="F53" s="4"/>
      <c r="H53" t="e">
        <f t="shared" si="4"/>
        <v>#DIV/0!</v>
      </c>
      <c r="I53" t="e">
        <f t="shared" si="5"/>
        <v>#DIV/0!</v>
      </c>
    </row>
    <row r="54" spans="5:9" ht="13.5">
      <c r="E54">
        <v>0.375</v>
      </c>
      <c r="F54" s="4"/>
      <c r="H54" t="e">
        <f t="shared" si="4"/>
        <v>#DIV/0!</v>
      </c>
      <c r="I54" t="e">
        <f t="shared" si="5"/>
        <v>#DIV/0!</v>
      </c>
    </row>
    <row r="55" spans="5:9" ht="13.5">
      <c r="E55">
        <v>0.385</v>
      </c>
      <c r="F55" s="4"/>
      <c r="H55" t="e">
        <f t="shared" si="4"/>
        <v>#DIV/0!</v>
      </c>
      <c r="I55" t="e">
        <f t="shared" si="5"/>
        <v>#DIV/0!</v>
      </c>
    </row>
    <row r="56" spans="5:9" ht="13.5">
      <c r="E56">
        <v>0.395</v>
      </c>
      <c r="F56" s="4"/>
      <c r="H56" t="e">
        <f t="shared" si="4"/>
        <v>#DIV/0!</v>
      </c>
      <c r="I56" t="e">
        <f t="shared" si="5"/>
        <v>#DIV/0!</v>
      </c>
    </row>
    <row r="57" spans="5:9" ht="13.5">
      <c r="E57">
        <v>0.405</v>
      </c>
      <c r="F57" s="4"/>
      <c r="H57" t="e">
        <f t="shared" si="4"/>
        <v>#DIV/0!</v>
      </c>
      <c r="I57" t="e">
        <f t="shared" si="5"/>
        <v>#DIV/0!</v>
      </c>
    </row>
    <row r="58" spans="5:9" ht="13.5">
      <c r="E58">
        <v>0.415</v>
      </c>
      <c r="F58" s="4"/>
      <c r="H58" t="e">
        <f t="shared" si="4"/>
        <v>#DIV/0!</v>
      </c>
      <c r="I58" t="e">
        <f t="shared" si="5"/>
        <v>#DIV/0!</v>
      </c>
    </row>
    <row r="59" spans="5:9" ht="13.5">
      <c r="E59">
        <v>0.425</v>
      </c>
      <c r="F59" s="4"/>
      <c r="H59" t="e">
        <f t="shared" si="4"/>
        <v>#DIV/0!</v>
      </c>
      <c r="I59" t="e">
        <f t="shared" si="5"/>
        <v>#DIV/0!</v>
      </c>
    </row>
    <row r="60" spans="5:9" ht="13.5">
      <c r="E60">
        <v>0.435</v>
      </c>
      <c r="F60" s="4"/>
      <c r="H60" t="e">
        <f t="shared" si="4"/>
        <v>#DIV/0!</v>
      </c>
      <c r="I60" t="e">
        <f t="shared" si="5"/>
        <v>#DIV/0!</v>
      </c>
    </row>
    <row r="61" spans="5:9" ht="13.5">
      <c r="E61">
        <v>0.445</v>
      </c>
      <c r="F61" s="4"/>
      <c r="H61" t="e">
        <f t="shared" si="4"/>
        <v>#DIV/0!</v>
      </c>
      <c r="I61" t="e">
        <f t="shared" si="5"/>
        <v>#DIV/0!</v>
      </c>
    </row>
    <row r="62" spans="5:9" ht="13.5">
      <c r="E62">
        <v>0.455</v>
      </c>
      <c r="F62" s="4"/>
      <c r="H62" t="e">
        <f t="shared" si="4"/>
        <v>#DIV/0!</v>
      </c>
      <c r="I62" t="e">
        <f t="shared" si="5"/>
        <v>#DIV/0!</v>
      </c>
    </row>
    <row r="63" spans="5:9" ht="13.5">
      <c r="E63">
        <v>0.465</v>
      </c>
      <c r="F63" s="4"/>
      <c r="H63" t="e">
        <f t="shared" si="4"/>
        <v>#DIV/0!</v>
      </c>
      <c r="I63" t="e">
        <f t="shared" si="5"/>
        <v>#DIV/0!</v>
      </c>
    </row>
    <row r="64" spans="5:9" ht="13.5">
      <c r="E64">
        <v>0.475</v>
      </c>
      <c r="F64" s="4"/>
      <c r="H64" t="e">
        <f t="shared" si="4"/>
        <v>#DIV/0!</v>
      </c>
      <c r="I64" t="e">
        <f t="shared" si="5"/>
        <v>#DIV/0!</v>
      </c>
    </row>
    <row r="65" spans="5:9" ht="13.5">
      <c r="E65">
        <v>0.485</v>
      </c>
      <c r="F65" s="4"/>
      <c r="H65" t="e">
        <f t="shared" si="4"/>
        <v>#DIV/0!</v>
      </c>
      <c r="I65" t="e">
        <f t="shared" si="5"/>
        <v>#DIV/0!</v>
      </c>
    </row>
    <row r="66" spans="5:9" ht="13.5">
      <c r="E66">
        <v>0.495</v>
      </c>
      <c r="F66" s="4"/>
      <c r="H66" t="e">
        <f t="shared" si="4"/>
        <v>#DIV/0!</v>
      </c>
      <c r="I66" t="e">
        <f t="shared" si="5"/>
        <v>#DIV/0!</v>
      </c>
    </row>
    <row r="67" spans="5:9" ht="13.5">
      <c r="E67">
        <v>0.505</v>
      </c>
      <c r="F67" s="4"/>
      <c r="H67" t="e">
        <f t="shared" si="4"/>
        <v>#DIV/0!</v>
      </c>
      <c r="I67" t="e">
        <f t="shared" si="5"/>
        <v>#DIV/0!</v>
      </c>
    </row>
    <row r="68" spans="5:9" ht="13.5">
      <c r="E68">
        <v>0.515</v>
      </c>
      <c r="F68" s="4"/>
      <c r="H68" t="e">
        <f t="shared" si="4"/>
        <v>#DIV/0!</v>
      </c>
      <c r="I68" t="e">
        <f t="shared" si="5"/>
        <v>#DIV/0!</v>
      </c>
    </row>
    <row r="69" spans="5:9" ht="13.5">
      <c r="E69">
        <v>0.525</v>
      </c>
      <c r="F69" s="4"/>
      <c r="H69" t="e">
        <f t="shared" si="4"/>
        <v>#DIV/0!</v>
      </c>
      <c r="I69" t="e">
        <f t="shared" si="5"/>
        <v>#DIV/0!</v>
      </c>
    </row>
    <row r="70" spans="5:9" ht="13.5">
      <c r="E70">
        <v>0.535</v>
      </c>
      <c r="F70" s="4"/>
      <c r="H70" t="e">
        <f t="shared" si="4"/>
        <v>#DIV/0!</v>
      </c>
      <c r="I70" t="e">
        <f t="shared" si="5"/>
        <v>#DIV/0!</v>
      </c>
    </row>
    <row r="71" spans="5:9" ht="13.5">
      <c r="E71">
        <v>0.545</v>
      </c>
      <c r="F71" s="4"/>
      <c r="H71" t="e">
        <f t="shared" si="4"/>
        <v>#DIV/0!</v>
      </c>
      <c r="I71" t="e">
        <f t="shared" si="5"/>
        <v>#DIV/0!</v>
      </c>
    </row>
    <row r="72" spans="5:9" ht="13.5">
      <c r="E72">
        <v>0.555</v>
      </c>
      <c r="F72" s="4"/>
      <c r="H72" t="e">
        <f t="shared" si="4"/>
        <v>#DIV/0!</v>
      </c>
      <c r="I72" t="e">
        <f t="shared" si="5"/>
        <v>#DIV/0!</v>
      </c>
    </row>
    <row r="73" spans="5:9" ht="13.5">
      <c r="E73">
        <v>0.565</v>
      </c>
      <c r="F73" s="4"/>
      <c r="H73" t="e">
        <f t="shared" si="4"/>
        <v>#DIV/0!</v>
      </c>
      <c r="I73" t="e">
        <f t="shared" si="5"/>
        <v>#DIV/0!</v>
      </c>
    </row>
    <row r="74" spans="5:9" ht="13.5">
      <c r="E74">
        <v>0.575</v>
      </c>
      <c r="F74" s="4"/>
      <c r="H74" t="e">
        <f t="shared" si="4"/>
        <v>#DIV/0!</v>
      </c>
      <c r="I74" t="e">
        <f t="shared" si="5"/>
        <v>#DIV/0!</v>
      </c>
    </row>
    <row r="75" spans="5:9" ht="13.5">
      <c r="E75">
        <v>0.585</v>
      </c>
      <c r="F75" s="4"/>
      <c r="H75" t="e">
        <f t="shared" si="4"/>
        <v>#DIV/0!</v>
      </c>
      <c r="I75" t="e">
        <f t="shared" si="5"/>
        <v>#DIV/0!</v>
      </c>
    </row>
    <row r="76" spans="5:9" ht="13.5">
      <c r="E76">
        <v>0.595</v>
      </c>
      <c r="F76" s="4"/>
      <c r="H76" t="e">
        <f t="shared" si="4"/>
        <v>#DIV/0!</v>
      </c>
      <c r="I76" t="e">
        <f t="shared" si="5"/>
        <v>#DIV/0!</v>
      </c>
    </row>
    <row r="77" spans="5:9" ht="13.5">
      <c r="E77">
        <v>0.605</v>
      </c>
      <c r="F77" s="4"/>
      <c r="H77" t="e">
        <f t="shared" si="4"/>
        <v>#DIV/0!</v>
      </c>
      <c r="I77" t="e">
        <f t="shared" si="5"/>
        <v>#DIV/0!</v>
      </c>
    </row>
    <row r="78" spans="5:9" ht="13.5">
      <c r="E78">
        <v>0.615</v>
      </c>
      <c r="F78" s="4"/>
      <c r="H78" t="e">
        <f t="shared" si="4"/>
        <v>#DIV/0!</v>
      </c>
      <c r="I78" t="e">
        <f t="shared" si="5"/>
        <v>#DIV/0!</v>
      </c>
    </row>
    <row r="79" spans="5:9" ht="13.5">
      <c r="E79">
        <v>0.625</v>
      </c>
      <c r="F79" s="4"/>
      <c r="H79" t="e">
        <f t="shared" si="4"/>
        <v>#DIV/0!</v>
      </c>
      <c r="I79" t="e">
        <f t="shared" si="5"/>
        <v>#DIV/0!</v>
      </c>
    </row>
    <row r="80" spans="5:9" ht="13.5">
      <c r="E80">
        <v>0.635</v>
      </c>
      <c r="F80" s="4"/>
      <c r="H80" t="e">
        <f t="shared" si="4"/>
        <v>#DIV/0!</v>
      </c>
      <c r="I80" t="e">
        <f t="shared" si="5"/>
        <v>#DIV/0!</v>
      </c>
    </row>
    <row r="81" spans="5:9" ht="13.5">
      <c r="E81">
        <v>0.645</v>
      </c>
      <c r="F81" s="4"/>
      <c r="H81" t="e">
        <f aca="true" t="shared" si="6" ref="H81:H115">AVERAGE(F81:F82)</f>
        <v>#DIV/0!</v>
      </c>
      <c r="I81" t="e">
        <f aca="true" t="shared" si="7" ref="I81:I115">(E82-E81)/(F82-F81)</f>
        <v>#DIV/0!</v>
      </c>
    </row>
    <row r="82" spans="5:9" ht="13.5">
      <c r="E82">
        <v>0.655</v>
      </c>
      <c r="F82" s="4"/>
      <c r="H82" t="e">
        <f t="shared" si="6"/>
        <v>#DIV/0!</v>
      </c>
      <c r="I82" t="e">
        <f t="shared" si="7"/>
        <v>#DIV/0!</v>
      </c>
    </row>
    <row r="83" spans="5:9" ht="13.5">
      <c r="E83">
        <v>0.665</v>
      </c>
      <c r="F83" s="4"/>
      <c r="H83" t="e">
        <f t="shared" si="6"/>
        <v>#DIV/0!</v>
      </c>
      <c r="I83" t="e">
        <f t="shared" si="7"/>
        <v>#DIV/0!</v>
      </c>
    </row>
    <row r="84" spans="5:9" ht="13.5">
      <c r="E84">
        <v>0.675</v>
      </c>
      <c r="F84" s="4"/>
      <c r="H84" t="e">
        <f t="shared" si="6"/>
        <v>#DIV/0!</v>
      </c>
      <c r="I84" t="e">
        <f t="shared" si="7"/>
        <v>#DIV/0!</v>
      </c>
    </row>
    <row r="85" spans="5:9" ht="13.5">
      <c r="E85">
        <v>0.685</v>
      </c>
      <c r="F85" s="4"/>
      <c r="H85" t="e">
        <f t="shared" si="6"/>
        <v>#DIV/0!</v>
      </c>
      <c r="I85" t="e">
        <f t="shared" si="7"/>
        <v>#DIV/0!</v>
      </c>
    </row>
    <row r="86" spans="5:9" ht="13.5">
      <c r="E86">
        <v>0.695</v>
      </c>
      <c r="F86" s="4"/>
      <c r="H86" t="e">
        <f t="shared" si="6"/>
        <v>#DIV/0!</v>
      </c>
      <c r="I86" t="e">
        <f t="shared" si="7"/>
        <v>#DIV/0!</v>
      </c>
    </row>
    <row r="87" spans="5:9" ht="13.5">
      <c r="E87">
        <v>0.705</v>
      </c>
      <c r="F87" s="4"/>
      <c r="H87" t="e">
        <f t="shared" si="6"/>
        <v>#DIV/0!</v>
      </c>
      <c r="I87" t="e">
        <f t="shared" si="7"/>
        <v>#DIV/0!</v>
      </c>
    </row>
    <row r="88" spans="5:9" ht="13.5">
      <c r="E88">
        <v>0.715</v>
      </c>
      <c r="F88" s="4"/>
      <c r="H88" t="e">
        <f t="shared" si="6"/>
        <v>#DIV/0!</v>
      </c>
      <c r="I88" t="e">
        <f t="shared" si="7"/>
        <v>#DIV/0!</v>
      </c>
    </row>
    <row r="89" spans="5:9" ht="13.5">
      <c r="E89">
        <v>0.725</v>
      </c>
      <c r="F89" s="4"/>
      <c r="H89" t="e">
        <f t="shared" si="6"/>
        <v>#DIV/0!</v>
      </c>
      <c r="I89" t="e">
        <f t="shared" si="7"/>
        <v>#DIV/0!</v>
      </c>
    </row>
    <row r="90" spans="5:9" ht="13.5">
      <c r="E90">
        <v>0.735</v>
      </c>
      <c r="F90" s="4"/>
      <c r="H90" t="e">
        <f t="shared" si="6"/>
        <v>#DIV/0!</v>
      </c>
      <c r="I90" t="e">
        <f t="shared" si="7"/>
        <v>#DIV/0!</v>
      </c>
    </row>
    <row r="91" spans="5:9" ht="13.5">
      <c r="E91">
        <v>0.745</v>
      </c>
      <c r="F91" s="4"/>
      <c r="H91" t="e">
        <f t="shared" si="6"/>
        <v>#DIV/0!</v>
      </c>
      <c r="I91" t="e">
        <f t="shared" si="7"/>
        <v>#DIV/0!</v>
      </c>
    </row>
    <row r="92" spans="5:9" ht="13.5">
      <c r="E92">
        <v>0.755</v>
      </c>
      <c r="F92" s="4"/>
      <c r="H92" t="e">
        <f t="shared" si="6"/>
        <v>#DIV/0!</v>
      </c>
      <c r="I92" t="e">
        <f t="shared" si="7"/>
        <v>#DIV/0!</v>
      </c>
    </row>
    <row r="93" spans="5:9" ht="13.5">
      <c r="E93">
        <v>0.765</v>
      </c>
      <c r="F93" s="4"/>
      <c r="H93" t="e">
        <f t="shared" si="6"/>
        <v>#DIV/0!</v>
      </c>
      <c r="I93" t="e">
        <f t="shared" si="7"/>
        <v>#DIV/0!</v>
      </c>
    </row>
    <row r="94" spans="5:9" ht="13.5">
      <c r="E94">
        <v>0.775</v>
      </c>
      <c r="F94" s="4"/>
      <c r="H94" t="e">
        <f t="shared" si="6"/>
        <v>#DIV/0!</v>
      </c>
      <c r="I94" t="e">
        <f t="shared" si="7"/>
        <v>#DIV/0!</v>
      </c>
    </row>
    <row r="95" spans="5:9" ht="13.5">
      <c r="E95">
        <v>0.785</v>
      </c>
      <c r="F95" s="4"/>
      <c r="H95" t="e">
        <f t="shared" si="6"/>
        <v>#DIV/0!</v>
      </c>
      <c r="I95" t="e">
        <f t="shared" si="7"/>
        <v>#DIV/0!</v>
      </c>
    </row>
    <row r="96" spans="5:9" ht="13.5">
      <c r="E96">
        <v>0.795</v>
      </c>
      <c r="F96" s="4"/>
      <c r="H96" t="e">
        <f t="shared" si="6"/>
        <v>#DIV/0!</v>
      </c>
      <c r="I96" t="e">
        <f t="shared" si="7"/>
        <v>#DIV/0!</v>
      </c>
    </row>
    <row r="97" spans="5:9" ht="13.5">
      <c r="E97">
        <v>0.805</v>
      </c>
      <c r="F97" s="4"/>
      <c r="H97" t="e">
        <f t="shared" si="6"/>
        <v>#DIV/0!</v>
      </c>
      <c r="I97" t="e">
        <f t="shared" si="7"/>
        <v>#DIV/0!</v>
      </c>
    </row>
    <row r="98" spans="5:9" ht="13.5">
      <c r="E98">
        <v>0.815</v>
      </c>
      <c r="F98" s="4"/>
      <c r="H98" t="e">
        <f t="shared" si="6"/>
        <v>#DIV/0!</v>
      </c>
      <c r="I98" t="e">
        <f t="shared" si="7"/>
        <v>#DIV/0!</v>
      </c>
    </row>
    <row r="99" spans="5:9" ht="13.5">
      <c r="E99">
        <v>0.825</v>
      </c>
      <c r="F99" s="4"/>
      <c r="H99" t="e">
        <f t="shared" si="6"/>
        <v>#DIV/0!</v>
      </c>
      <c r="I99" t="e">
        <f t="shared" si="7"/>
        <v>#DIV/0!</v>
      </c>
    </row>
    <row r="100" spans="5:9" ht="13.5">
      <c r="E100">
        <v>0.835</v>
      </c>
      <c r="F100" s="4"/>
      <c r="H100" t="e">
        <f t="shared" si="6"/>
        <v>#DIV/0!</v>
      </c>
      <c r="I100" t="e">
        <f t="shared" si="7"/>
        <v>#DIV/0!</v>
      </c>
    </row>
    <row r="101" spans="5:9" ht="13.5">
      <c r="E101">
        <v>0.845</v>
      </c>
      <c r="F101" s="4"/>
      <c r="H101" t="e">
        <f t="shared" si="6"/>
        <v>#DIV/0!</v>
      </c>
      <c r="I101" t="e">
        <f t="shared" si="7"/>
        <v>#DIV/0!</v>
      </c>
    </row>
    <row r="102" spans="5:9" ht="13.5">
      <c r="E102">
        <v>0.855</v>
      </c>
      <c r="F102" s="4"/>
      <c r="H102" t="e">
        <f t="shared" si="6"/>
        <v>#DIV/0!</v>
      </c>
      <c r="I102" t="e">
        <f t="shared" si="7"/>
        <v>#DIV/0!</v>
      </c>
    </row>
    <row r="103" spans="5:9" ht="13.5">
      <c r="E103">
        <v>0.865</v>
      </c>
      <c r="F103" s="4"/>
      <c r="H103" t="e">
        <f t="shared" si="6"/>
        <v>#DIV/0!</v>
      </c>
      <c r="I103" t="e">
        <f t="shared" si="7"/>
        <v>#DIV/0!</v>
      </c>
    </row>
    <row r="104" spans="5:9" ht="13.5">
      <c r="E104">
        <v>0.875</v>
      </c>
      <c r="F104" s="4"/>
      <c r="H104" t="e">
        <f t="shared" si="6"/>
        <v>#DIV/0!</v>
      </c>
      <c r="I104" t="e">
        <f t="shared" si="7"/>
        <v>#DIV/0!</v>
      </c>
    </row>
    <row r="105" spans="5:9" ht="13.5">
      <c r="E105">
        <v>0.885</v>
      </c>
      <c r="F105" s="4"/>
      <c r="H105" t="e">
        <f t="shared" si="6"/>
        <v>#DIV/0!</v>
      </c>
      <c r="I105" t="e">
        <f t="shared" si="7"/>
        <v>#DIV/0!</v>
      </c>
    </row>
    <row r="106" spans="5:9" ht="13.5">
      <c r="E106">
        <v>0.895</v>
      </c>
      <c r="F106" s="4"/>
      <c r="H106" t="e">
        <f t="shared" si="6"/>
        <v>#DIV/0!</v>
      </c>
      <c r="I106" t="e">
        <f t="shared" si="7"/>
        <v>#DIV/0!</v>
      </c>
    </row>
    <row r="107" spans="5:9" ht="13.5">
      <c r="E107">
        <v>0.905</v>
      </c>
      <c r="F107" s="4"/>
      <c r="H107" t="e">
        <f t="shared" si="6"/>
        <v>#DIV/0!</v>
      </c>
      <c r="I107" t="e">
        <f t="shared" si="7"/>
        <v>#DIV/0!</v>
      </c>
    </row>
    <row r="108" spans="5:9" ht="13.5">
      <c r="E108">
        <v>0.915</v>
      </c>
      <c r="F108" s="4"/>
      <c r="H108" t="e">
        <f t="shared" si="6"/>
        <v>#DIV/0!</v>
      </c>
      <c r="I108" t="e">
        <f t="shared" si="7"/>
        <v>#DIV/0!</v>
      </c>
    </row>
    <row r="109" spans="5:9" ht="13.5">
      <c r="E109">
        <v>0.925</v>
      </c>
      <c r="F109" s="4"/>
      <c r="H109" t="e">
        <f t="shared" si="6"/>
        <v>#DIV/0!</v>
      </c>
      <c r="I109" t="e">
        <f t="shared" si="7"/>
        <v>#DIV/0!</v>
      </c>
    </row>
    <row r="110" spans="5:9" ht="13.5">
      <c r="E110">
        <v>0.935</v>
      </c>
      <c r="F110" s="4"/>
      <c r="H110" t="e">
        <f t="shared" si="6"/>
        <v>#DIV/0!</v>
      </c>
      <c r="I110" t="e">
        <f t="shared" si="7"/>
        <v>#DIV/0!</v>
      </c>
    </row>
    <row r="111" spans="5:9" ht="13.5">
      <c r="E111">
        <v>0.945</v>
      </c>
      <c r="F111" s="4"/>
      <c r="H111" t="e">
        <f t="shared" si="6"/>
        <v>#DIV/0!</v>
      </c>
      <c r="I111" t="e">
        <f t="shared" si="7"/>
        <v>#DIV/0!</v>
      </c>
    </row>
    <row r="112" spans="5:9" ht="13.5">
      <c r="E112">
        <v>0.955</v>
      </c>
      <c r="F112" s="4"/>
      <c r="H112" t="e">
        <f t="shared" si="6"/>
        <v>#DIV/0!</v>
      </c>
      <c r="I112" t="e">
        <f t="shared" si="7"/>
        <v>#DIV/0!</v>
      </c>
    </row>
    <row r="113" spans="5:9" ht="13.5">
      <c r="E113">
        <v>0.965</v>
      </c>
      <c r="F113" s="4"/>
      <c r="H113" t="e">
        <f t="shared" si="6"/>
        <v>#DIV/0!</v>
      </c>
      <c r="I113" t="e">
        <f t="shared" si="7"/>
        <v>#DIV/0!</v>
      </c>
    </row>
    <row r="114" spans="5:9" ht="13.5">
      <c r="E114">
        <v>0.975</v>
      </c>
      <c r="F114" s="4"/>
      <c r="H114" t="e">
        <f t="shared" si="6"/>
        <v>#DIV/0!</v>
      </c>
      <c r="I114" t="e">
        <f t="shared" si="7"/>
        <v>#DIV/0!</v>
      </c>
    </row>
    <row r="115" spans="5:9" ht="13.5">
      <c r="E115">
        <v>0.985</v>
      </c>
      <c r="F115" s="4"/>
      <c r="H115" t="e">
        <f t="shared" si="6"/>
        <v>#DIV/0!</v>
      </c>
      <c r="I115" t="e">
        <f t="shared" si="7"/>
        <v>#DIV/0!</v>
      </c>
    </row>
    <row r="116" spans="5:9" ht="13.5">
      <c r="E116">
        <v>0.995</v>
      </c>
      <c r="F116" s="5"/>
      <c r="H116" s="24">
        <f>1/C11</f>
        <v>6</v>
      </c>
      <c r="I116" s="24">
        <v>0</v>
      </c>
    </row>
  </sheetData>
  <printOptions gridLines="1" headings="1"/>
  <pageMargins left="1" right="1" top="1" bottom="1" header="0.5" footer="0.5"/>
  <pageSetup horizontalDpi="96" verticalDpi="96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18"/>
  <sheetViews>
    <sheetView workbookViewId="0" topLeftCell="A1">
      <selection activeCell="A1" sqref="A1"/>
    </sheetView>
  </sheetViews>
  <sheetFormatPr defaultColWidth="9.00390625" defaultRowHeight="13.5"/>
  <cols>
    <col min="1" max="16384" width="8.875" style="0" customWidth="1"/>
  </cols>
  <sheetData>
    <row r="1" spans="1:3" ht="13.5">
      <c r="A1">
        <v>0.9</v>
      </c>
      <c r="B1" t="s">
        <v>3</v>
      </c>
      <c r="C1" t="s">
        <v>170</v>
      </c>
    </row>
    <row r="2" spans="1:3" ht="13.5">
      <c r="A2">
        <v>1</v>
      </c>
      <c r="B2" t="s">
        <v>171</v>
      </c>
      <c r="C2" t="s">
        <v>172</v>
      </c>
    </row>
    <row r="3" spans="12:15" ht="13.5">
      <c r="L3" s="7" t="s">
        <v>7</v>
      </c>
      <c r="M3" s="25" t="s">
        <v>8</v>
      </c>
      <c r="N3" s="25" t="s">
        <v>173</v>
      </c>
      <c r="O3" s="25" t="s">
        <v>174</v>
      </c>
    </row>
    <row r="4" spans="1:15" ht="13.5">
      <c r="A4" s="1" t="s">
        <v>175</v>
      </c>
      <c r="L4" s="11" t="s">
        <v>176</v>
      </c>
      <c r="M4">
        <f>B13</f>
        <v>0.27464371640907703</v>
      </c>
      <c r="N4">
        <f>B10</f>
        <v>0.3595228061819497</v>
      </c>
      <c r="O4">
        <f>B9</f>
        <v>1.3252476504881687</v>
      </c>
    </row>
    <row r="5" spans="1:15" ht="13.5">
      <c r="A5" s="1" t="s">
        <v>177</v>
      </c>
      <c r="H5" t="s">
        <v>178</v>
      </c>
      <c r="L5">
        <v>1E-06</v>
      </c>
      <c r="M5" s="12"/>
      <c r="N5" s="9"/>
      <c r="O5" s="13"/>
    </row>
    <row r="6" spans="1:15" ht="13.5">
      <c r="A6" s="1" t="s">
        <v>179</v>
      </c>
      <c r="L6">
        <v>0.05</v>
      </c>
      <c r="M6" s="14"/>
      <c r="N6" s="15"/>
      <c r="O6" s="16"/>
    </row>
    <row r="7" spans="12:15" ht="13.5">
      <c r="L7">
        <v>0.1</v>
      </c>
      <c r="M7" s="14"/>
      <c r="N7" s="15"/>
      <c r="O7" s="16"/>
    </row>
    <row r="8" spans="1:15" ht="13.5">
      <c r="A8">
        <v>0.42881107877058794</v>
      </c>
      <c r="B8" t="s">
        <v>7</v>
      </c>
      <c r="C8" t="s">
        <v>180</v>
      </c>
      <c r="L8">
        <v>0.15</v>
      </c>
      <c r="M8" s="14"/>
      <c r="N8" s="15"/>
      <c r="O8" s="16"/>
    </row>
    <row r="9" spans="1:15" ht="13.5">
      <c r="A9">
        <f>B218</f>
        <v>1.3252476504881687</v>
      </c>
      <c r="B9" s="6">
        <f>A2+A8*LN(B10)+A1*(1-B10)*A9</f>
        <v>1.3252476504881687</v>
      </c>
      <c r="C9" s="1" t="s">
        <v>181</v>
      </c>
      <c r="L9">
        <v>0.2</v>
      </c>
      <c r="M9" s="14"/>
      <c r="N9" s="15"/>
      <c r="O9" s="16"/>
    </row>
    <row r="10" spans="2:15" ht="13.5">
      <c r="B10">
        <f>MIN(1,A8/(A1*A9))</f>
        <v>0.3595228061819497</v>
      </c>
      <c r="C10" s="1" t="s">
        <v>182</v>
      </c>
      <c r="L10">
        <v>0.25</v>
      </c>
      <c r="M10" s="14"/>
      <c r="N10" s="15"/>
      <c r="O10" s="16"/>
    </row>
    <row r="11" spans="3:15" ht="13.5">
      <c r="C11" s="1" t="s">
        <v>294</v>
      </c>
      <c r="D11" s="1"/>
      <c r="K11" s="11" t="s">
        <v>293</v>
      </c>
      <c r="L11">
        <v>0.3</v>
      </c>
      <c r="M11" s="14"/>
      <c r="N11" s="15"/>
      <c r="O11" s="16"/>
    </row>
    <row r="12" spans="3:15" ht="13.5">
      <c r="C12" s="1" t="s">
        <v>295</v>
      </c>
      <c r="K12">
        <f>A8/B10</f>
        <v>1.192722885439352</v>
      </c>
      <c r="L12">
        <v>0.35</v>
      </c>
      <c r="M12" s="14"/>
      <c r="N12" s="15"/>
      <c r="O12" s="16"/>
    </row>
    <row r="13" spans="2:15" ht="13.5">
      <c r="B13">
        <f>(1-B10)*A8</f>
        <v>0.27464371640907703</v>
      </c>
      <c r="C13" s="1" t="s">
        <v>183</v>
      </c>
      <c r="L13">
        <v>0.4</v>
      </c>
      <c r="M13" s="14"/>
      <c r="N13" s="15"/>
      <c r="O13" s="16"/>
    </row>
    <row r="14" spans="2:15" ht="13.5">
      <c r="B14" t="s">
        <v>184</v>
      </c>
      <c r="L14">
        <v>0.45</v>
      </c>
      <c r="M14" s="14"/>
      <c r="N14" s="15"/>
      <c r="O14" s="16"/>
    </row>
    <row r="15" spans="12:15" ht="13.5">
      <c r="L15">
        <v>0.5</v>
      </c>
      <c r="M15" s="14"/>
      <c r="N15" s="15"/>
      <c r="O15" s="16"/>
    </row>
    <row r="16" spans="1:15" ht="13.5">
      <c r="A16" s="1" t="s">
        <v>296</v>
      </c>
      <c r="L16">
        <v>0.55</v>
      </c>
      <c r="M16" s="14"/>
      <c r="N16" s="15"/>
      <c r="O16" s="16"/>
    </row>
    <row r="17" spans="1:15" ht="13.5">
      <c r="A17" s="7" t="s">
        <v>173</v>
      </c>
      <c r="B17" s="7" t="s">
        <v>174</v>
      </c>
      <c r="D17" s="11" t="s">
        <v>185</v>
      </c>
      <c r="E17" s="6">
        <f>A2+A8*(LN(B10)-1-(1/A1-1)/B10)</f>
        <v>0</v>
      </c>
      <c r="F17" s="6">
        <f>A9-B9</f>
        <v>0</v>
      </c>
      <c r="G17">
        <f>A1*A9-A8/B10</f>
        <v>0</v>
      </c>
      <c r="H17">
        <f>B217/B218-1</f>
        <v>0</v>
      </c>
      <c r="I17">
        <f>A1^COUNT(B19:B218)</f>
        <v>7.0550791086554E-10</v>
      </c>
      <c r="J17" t="s">
        <v>186</v>
      </c>
      <c r="L17">
        <v>0.6</v>
      </c>
      <c r="M17" s="14"/>
      <c r="N17" s="15"/>
      <c r="O17" s="16"/>
    </row>
    <row r="18" spans="1:15" ht="13.5">
      <c r="A18" s="7" t="s">
        <v>82</v>
      </c>
      <c r="B18" s="24">
        <v>1E-05</v>
      </c>
      <c r="L18">
        <v>0.65</v>
      </c>
      <c r="M18" s="14"/>
      <c r="N18" s="15"/>
      <c r="O18" s="16"/>
    </row>
    <row r="19" spans="1:15" ht="13.5">
      <c r="A19">
        <f aca="true" t="shared" si="0" ref="A19:A50">MIN(1,$A$8/($A$1*B18))</f>
        <v>1</v>
      </c>
      <c r="B19">
        <f aca="true" t="shared" si="1" ref="B19:B50">$A$2+$A$8*LN(A19)+$A$1*(1-A19)*B18</f>
        <v>1</v>
      </c>
      <c r="E19" s="1" t="s">
        <v>110</v>
      </c>
      <c r="L19">
        <v>0.7</v>
      </c>
      <c r="M19" s="14"/>
      <c r="N19" s="15"/>
      <c r="O19" s="16"/>
    </row>
    <row r="20" spans="1:15" ht="13.5">
      <c r="A20">
        <f>MIN(1,$A$8/($A$1*B19))</f>
        <v>0.47645675418954214</v>
      </c>
      <c r="B20">
        <f t="shared" si="1"/>
        <v>1.1532776852467501</v>
      </c>
      <c r="E20" t="s">
        <v>187</v>
      </c>
      <c r="G20" t="s">
        <v>188</v>
      </c>
      <c r="L20">
        <v>0.75</v>
      </c>
      <c r="M20" s="14"/>
      <c r="N20" s="15"/>
      <c r="O20" s="16"/>
    </row>
    <row r="21" spans="1:15" ht="13.5">
      <c r="A21">
        <f t="shared" si="0"/>
        <v>0.41313272621554414</v>
      </c>
      <c r="B21">
        <f t="shared" si="1"/>
        <v>1.2300756904421966</v>
      </c>
      <c r="E21" t="s">
        <v>189</v>
      </c>
      <c r="H21" t="s">
        <v>297</v>
      </c>
      <c r="L21">
        <v>0.8</v>
      </c>
      <c r="M21" s="14"/>
      <c r="N21" s="15"/>
      <c r="O21" s="16"/>
    </row>
    <row r="22" spans="1:15" ht="13.5">
      <c r="A22">
        <f t="shared" si="0"/>
        <v>0.38733937910622557</v>
      </c>
      <c r="B22">
        <f t="shared" si="1"/>
        <v>1.271549450438397</v>
      </c>
      <c r="E22" t="s">
        <v>190</v>
      </c>
      <c r="L22">
        <v>0.85</v>
      </c>
      <c r="M22" s="14"/>
      <c r="N22" s="15"/>
      <c r="O22" s="16"/>
    </row>
    <row r="23" spans="1:15" ht="13.5">
      <c r="A23">
        <f t="shared" si="0"/>
        <v>0.374705642808679</v>
      </c>
      <c r="B23">
        <f t="shared" si="1"/>
        <v>1.2946562480423431</v>
      </c>
      <c r="E23" t="s">
        <v>298</v>
      </c>
      <c r="L23">
        <v>0.9</v>
      </c>
      <c r="M23" s="14"/>
      <c r="N23" s="15"/>
      <c r="O23" s="16"/>
    </row>
    <row r="24" spans="1:15" ht="13.5">
      <c r="A24">
        <f t="shared" si="0"/>
        <v>0.3680179622274214</v>
      </c>
      <c r="B24">
        <f t="shared" si="1"/>
        <v>1.3077298995160334</v>
      </c>
      <c r="E24" t="s">
        <v>191</v>
      </c>
      <c r="L24">
        <v>0.95</v>
      </c>
      <c r="M24" s="17"/>
      <c r="N24" s="18"/>
      <c r="O24" s="19"/>
    </row>
    <row r="25" spans="1:5" ht="13.5">
      <c r="A25">
        <f t="shared" si="0"/>
        <v>0.36433880908119476</v>
      </c>
      <c r="B25">
        <f t="shared" si="1"/>
        <v>1.3151876986027866</v>
      </c>
      <c r="E25" t="s">
        <v>192</v>
      </c>
    </row>
    <row r="26" spans="1:5" ht="13.5">
      <c r="A26">
        <f t="shared" si="0"/>
        <v>0.362272818317655</v>
      </c>
      <c r="B26">
        <f t="shared" si="1"/>
        <v>1.3194612153345808</v>
      </c>
      <c r="E26" t="s">
        <v>193</v>
      </c>
    </row>
    <row r="27" spans="1:5" ht="13.5">
      <c r="A27">
        <f t="shared" si="0"/>
        <v>0.36109947655318175</v>
      </c>
      <c r="B27">
        <f t="shared" si="1"/>
        <v>1.3219162782107685</v>
      </c>
      <c r="E27" t="s">
        <v>194</v>
      </c>
    </row>
    <row r="28" spans="1:5" ht="13.5">
      <c r="A28">
        <f t="shared" si="0"/>
        <v>0.36042884261508057</v>
      </c>
      <c r="B28">
        <f t="shared" si="1"/>
        <v>1.3233287064327026</v>
      </c>
      <c r="E28" t="s">
        <v>195</v>
      </c>
    </row>
    <row r="29" spans="1:5" ht="13.5">
      <c r="A29">
        <f t="shared" si="0"/>
        <v>0.36004414615468194</v>
      </c>
      <c r="B29">
        <f t="shared" si="1"/>
        <v>1.324141964547365</v>
      </c>
      <c r="E29" t="s">
        <v>196</v>
      </c>
    </row>
    <row r="30" spans="1:5" ht="13.5">
      <c r="A30">
        <f t="shared" si="0"/>
        <v>0.35982301516469994</v>
      </c>
      <c r="B30">
        <f t="shared" si="1"/>
        <v>1.3246104498524442</v>
      </c>
      <c r="E30" t="s">
        <v>197</v>
      </c>
    </row>
    <row r="31" spans="1:2" ht="13.5">
      <c r="A31">
        <f t="shared" si="0"/>
        <v>0.3596957537535789</v>
      </c>
      <c r="B31">
        <f t="shared" si="1"/>
        <v>1.324880398843694</v>
      </c>
    </row>
    <row r="32" spans="1:3" ht="13.5">
      <c r="A32">
        <f t="shared" si="0"/>
        <v>0.35962246449217283</v>
      </c>
      <c r="B32">
        <f t="shared" si="1"/>
        <v>1.325035972284092</v>
      </c>
      <c r="C32" s="1" t="s">
        <v>278</v>
      </c>
    </row>
    <row r="33" spans="1:11" ht="13.5">
      <c r="A33">
        <f t="shared" si="0"/>
        <v>0.3595802409561967</v>
      </c>
      <c r="B33">
        <f t="shared" si="1"/>
        <v>1.3251256384029124</v>
      </c>
      <c r="D33">
        <f>K33</f>
        <v>2.0647416048350564</v>
      </c>
      <c r="E33" s="1" t="s">
        <v>280</v>
      </c>
      <c r="K33">
        <f>A1*A2/(1-A1*D34)</f>
        <v>2.0647416048350564</v>
      </c>
    </row>
    <row r="34" spans="1:11" ht="13.5">
      <c r="A34">
        <f t="shared" si="0"/>
        <v>0.35955590955419475</v>
      </c>
      <c r="B34">
        <f t="shared" si="1"/>
        <v>1.3251773209434892</v>
      </c>
      <c r="D34">
        <f>K34</f>
        <v>0.6267890062732586</v>
      </c>
      <c r="E34" s="1" t="s">
        <v>277</v>
      </c>
      <c r="K34">
        <f>(1-(1-A1^2)^0.5)/A1</f>
        <v>0.6267890062732586</v>
      </c>
    </row>
    <row r="35" spans="1:6" ht="13.5">
      <c r="A35">
        <f t="shared" si="0"/>
        <v>0.35954188670412673</v>
      </c>
      <c r="B35">
        <f t="shared" si="1"/>
        <v>1.3252071110695471</v>
      </c>
      <c r="E35">
        <f>(A2-D33*(1-D34))/(1-A1)</f>
        <v>2.2941573387056184</v>
      </c>
      <c r="F35" s="1" t="s">
        <v>286</v>
      </c>
    </row>
    <row r="36" spans="1:6" ht="13.5">
      <c r="A36">
        <f t="shared" si="0"/>
        <v>0.3595338043462533</v>
      </c>
      <c r="B36">
        <f t="shared" si="1"/>
        <v>1.3252242825730334</v>
      </c>
      <c r="E36">
        <f>D33*(1-D34)*(1+D34)/2</f>
        <v>0.6267890062732585</v>
      </c>
      <c r="F36" s="1" t="s">
        <v>281</v>
      </c>
    </row>
    <row r="37" spans="1:6" ht="13.5">
      <c r="A37">
        <f t="shared" si="0"/>
        <v>0.3595291457114426</v>
      </c>
      <c r="B37">
        <f t="shared" si="1"/>
        <v>1.3252341805997918</v>
      </c>
      <c r="E37">
        <f>E35*A1-D33</f>
        <v>0</v>
      </c>
      <c r="F37" s="1" t="s">
        <v>279</v>
      </c>
    </row>
    <row r="38" spans="1:4" ht="13.5">
      <c r="A38">
        <f t="shared" si="0"/>
        <v>0.35952646042822495</v>
      </c>
      <c r="B38">
        <f t="shared" si="1"/>
        <v>1.3252398860696408</v>
      </c>
      <c r="D38" s="1" t="s">
        <v>285</v>
      </c>
    </row>
    <row r="39" spans="1:3" ht="13.5">
      <c r="A39">
        <f t="shared" si="0"/>
        <v>0.35952491258213193</v>
      </c>
      <c r="B39">
        <f t="shared" si="1"/>
        <v>1.3252431748558373</v>
      </c>
      <c r="C39" s="1" t="s">
        <v>292</v>
      </c>
    </row>
    <row r="40" spans="1:2" ht="13.5">
      <c r="A40">
        <f t="shared" si="0"/>
        <v>0.3595240203680899</v>
      </c>
      <c r="B40">
        <f t="shared" si="1"/>
        <v>1.3252450706042216</v>
      </c>
    </row>
    <row r="41" spans="1:4" ht="13.5">
      <c r="A41">
        <f t="shared" si="0"/>
        <v>0.3595235060729638</v>
      </c>
      <c r="B41">
        <f t="shared" si="1"/>
        <v>1.3252461633678336</v>
      </c>
      <c r="D41" t="s">
        <v>291</v>
      </c>
    </row>
    <row r="42" spans="1:6" ht="13.5">
      <c r="A42">
        <f t="shared" si="0"/>
        <v>0.359523209619206</v>
      </c>
      <c r="B42">
        <f t="shared" si="1"/>
        <v>1.3252467932684455</v>
      </c>
      <c r="D42" t="s">
        <v>287</v>
      </c>
      <c r="F42" t="s">
        <v>288</v>
      </c>
    </row>
    <row r="43" spans="1:6" ht="13.5">
      <c r="A43">
        <f t="shared" si="0"/>
        <v>0.3595230387348915</v>
      </c>
      <c r="B43">
        <f t="shared" si="1"/>
        <v>1.3252471563615438</v>
      </c>
      <c r="D43" t="s">
        <v>289</v>
      </c>
      <c r="F43" t="s">
        <v>290</v>
      </c>
    </row>
    <row r="44" spans="1:4" ht="13.5">
      <c r="A44">
        <f t="shared" si="0"/>
        <v>0.3595229402322587</v>
      </c>
      <c r="B44">
        <f t="shared" si="1"/>
        <v>1.3252473656590478</v>
      </c>
      <c r="D44" t="s">
        <v>282</v>
      </c>
    </row>
    <row r="45" spans="1:4" ht="13.5">
      <c r="A45">
        <f t="shared" si="0"/>
        <v>0.3595228834524786</v>
      </c>
      <c r="B45">
        <f t="shared" si="1"/>
        <v>1.3252474863042782</v>
      </c>
      <c r="D45" t="s">
        <v>283</v>
      </c>
    </row>
    <row r="46" spans="1:4" ht="13.5">
      <c r="A46">
        <f t="shared" si="0"/>
        <v>0.3595228507229533</v>
      </c>
      <c r="B46">
        <f t="shared" si="1"/>
        <v>1.3252475558477381</v>
      </c>
      <c r="D46" t="s">
        <v>284</v>
      </c>
    </row>
    <row r="47" spans="1:2" ht="13.5">
      <c r="A47">
        <f t="shared" si="0"/>
        <v>0.3595228318566948</v>
      </c>
      <c r="B47">
        <f t="shared" si="1"/>
        <v>1.3252475959346361</v>
      </c>
    </row>
    <row r="48" spans="1:2" ht="13.5">
      <c r="A48">
        <f t="shared" si="0"/>
        <v>0.3595228209816288</v>
      </c>
      <c r="B48">
        <f t="shared" si="1"/>
        <v>1.3252476190419051</v>
      </c>
    </row>
    <row r="49" spans="1:2" ht="13.5">
      <c r="A49">
        <f t="shared" si="0"/>
        <v>0.3595228147129207</v>
      </c>
      <c r="B49">
        <f t="shared" si="1"/>
        <v>1.3252476323616156</v>
      </c>
    </row>
    <row r="50" spans="1:2" ht="13.5">
      <c r="A50">
        <f t="shared" si="0"/>
        <v>0.3595228110994527</v>
      </c>
      <c r="B50">
        <f t="shared" si="1"/>
        <v>1.3252476400394895</v>
      </c>
    </row>
    <row r="51" spans="1:2" ht="13.5">
      <c r="A51">
        <f aca="true" t="shared" si="2" ref="A51:A82">MIN(1,$A$8/($A$1*B50))</f>
        <v>0.3595228090165433</v>
      </c>
      <c r="B51">
        <f aca="true" t="shared" si="3" ref="B51:B82">$A$2+$A$8*LN(A51)+$A$1*(1-A51)*B50</f>
        <v>1.3252476444652421</v>
      </c>
    </row>
    <row r="52" spans="1:2" ht="13.5">
      <c r="A52">
        <f t="shared" si="2"/>
        <v>0.359522807815893</v>
      </c>
      <c r="B52">
        <f t="shared" si="3"/>
        <v>1.3252476470163765</v>
      </c>
    </row>
    <row r="53" spans="1:2" ht="13.5">
      <c r="A53">
        <f t="shared" si="2"/>
        <v>0.35952280712380275</v>
      </c>
      <c r="B53">
        <f t="shared" si="3"/>
        <v>1.3252476484869256</v>
      </c>
    </row>
    <row r="54" spans="1:2" ht="13.5">
      <c r="A54">
        <f t="shared" si="2"/>
        <v>0.3595228067248615</v>
      </c>
      <c r="B54">
        <f t="shared" si="3"/>
        <v>1.3252476493345933</v>
      </c>
    </row>
    <row r="55" spans="1:2" ht="13.5">
      <c r="A55">
        <f t="shared" si="2"/>
        <v>0.3595228064949001</v>
      </c>
      <c r="B55">
        <f t="shared" si="3"/>
        <v>1.3252476498232137</v>
      </c>
    </row>
    <row r="56" spans="1:2" ht="13.5">
      <c r="A56">
        <f t="shared" si="2"/>
        <v>0.35952280636234357</v>
      </c>
      <c r="B56">
        <f t="shared" si="3"/>
        <v>1.3252476501048691</v>
      </c>
    </row>
    <row r="57" spans="1:2" ht="13.5">
      <c r="A57">
        <f t="shared" si="2"/>
        <v>0.359522806285934</v>
      </c>
      <c r="B57">
        <f t="shared" si="3"/>
        <v>1.3252476502672235</v>
      </c>
    </row>
    <row r="58" spans="1:2" ht="13.5">
      <c r="A58">
        <f t="shared" si="2"/>
        <v>0.35952280624188937</v>
      </c>
      <c r="B58">
        <f t="shared" si="3"/>
        <v>1.3252476503608095</v>
      </c>
    </row>
    <row r="59" spans="1:2" ht="13.5">
      <c r="A59">
        <f t="shared" si="2"/>
        <v>0.3595228062165007</v>
      </c>
      <c r="B59">
        <f t="shared" si="3"/>
        <v>1.325247650414755</v>
      </c>
    </row>
    <row r="60" spans="1:2" ht="13.5">
      <c r="A60">
        <f t="shared" si="2"/>
        <v>0.3595228062018659</v>
      </c>
      <c r="B60">
        <f t="shared" si="3"/>
        <v>1.325247650445851</v>
      </c>
    </row>
    <row r="61" spans="1:2" ht="13.5">
      <c r="A61">
        <f t="shared" si="2"/>
        <v>0.35952280619342997</v>
      </c>
      <c r="B61">
        <f t="shared" si="3"/>
        <v>1.3252476504637756</v>
      </c>
    </row>
    <row r="62" spans="1:2" ht="13.5">
      <c r="A62">
        <f t="shared" si="2"/>
        <v>0.35952280618856725</v>
      </c>
      <c r="B62">
        <f t="shared" si="3"/>
        <v>1.3252476504741078</v>
      </c>
    </row>
    <row r="63" spans="1:2" ht="13.5">
      <c r="A63">
        <f t="shared" si="2"/>
        <v>0.3595228061857643</v>
      </c>
      <c r="B63">
        <f t="shared" si="3"/>
        <v>1.3252476504800637</v>
      </c>
    </row>
    <row r="64" spans="1:2" ht="13.5">
      <c r="A64">
        <f t="shared" si="2"/>
        <v>0.35952280618414856</v>
      </c>
      <c r="B64">
        <f t="shared" si="3"/>
        <v>1.3252476504834967</v>
      </c>
    </row>
    <row r="65" spans="1:2" ht="13.5">
      <c r="A65">
        <f t="shared" si="2"/>
        <v>0.3595228061832172</v>
      </c>
      <c r="B65">
        <f t="shared" si="3"/>
        <v>1.3252476504854755</v>
      </c>
    </row>
    <row r="66" spans="1:2" ht="13.5">
      <c r="A66">
        <f t="shared" si="2"/>
        <v>0.35952280618268034</v>
      </c>
      <c r="B66">
        <f t="shared" si="3"/>
        <v>1.3252476504866164</v>
      </c>
    </row>
    <row r="67" spans="1:2" ht="13.5">
      <c r="A67">
        <f t="shared" si="2"/>
        <v>0.35952280618237087</v>
      </c>
      <c r="B67">
        <f t="shared" si="3"/>
        <v>1.3252476504872739</v>
      </c>
    </row>
    <row r="68" spans="1:2" ht="13.5">
      <c r="A68">
        <f t="shared" si="2"/>
        <v>0.3595228061821925</v>
      </c>
      <c r="B68">
        <f t="shared" si="3"/>
        <v>1.3252476504876531</v>
      </c>
    </row>
    <row r="69" spans="1:2" ht="13.5">
      <c r="A69">
        <f t="shared" si="2"/>
        <v>0.3595228061820896</v>
      </c>
      <c r="B69">
        <f t="shared" si="3"/>
        <v>1.3252476504878716</v>
      </c>
    </row>
    <row r="70" spans="1:2" ht="13.5">
      <c r="A70">
        <f t="shared" si="2"/>
        <v>0.3595228061820303</v>
      </c>
      <c r="B70">
        <f t="shared" si="3"/>
        <v>1.3252476504879973</v>
      </c>
    </row>
    <row r="71" spans="1:2" ht="13.5">
      <c r="A71">
        <f t="shared" si="2"/>
        <v>0.3595228061819962</v>
      </c>
      <c r="B71">
        <f t="shared" si="3"/>
        <v>1.3252476504880701</v>
      </c>
    </row>
    <row r="72" spans="1:2" ht="13.5">
      <c r="A72">
        <f t="shared" si="2"/>
        <v>0.3595228061819765</v>
      </c>
      <c r="B72">
        <f t="shared" si="3"/>
        <v>1.3252476504881119</v>
      </c>
    </row>
    <row r="73" spans="1:2" ht="13.5">
      <c r="A73">
        <f t="shared" si="2"/>
        <v>0.35952280618196514</v>
      </c>
      <c r="B73">
        <f t="shared" si="3"/>
        <v>1.325247650488136</v>
      </c>
    </row>
    <row r="74" spans="1:2" ht="13.5">
      <c r="A74">
        <f t="shared" si="2"/>
        <v>0.3595228061819586</v>
      </c>
      <c r="B74">
        <f t="shared" si="3"/>
        <v>1.32524765048815</v>
      </c>
    </row>
    <row r="75" spans="1:2" ht="13.5">
      <c r="A75">
        <f t="shared" si="2"/>
        <v>0.3595228061819548</v>
      </c>
      <c r="B75">
        <f t="shared" si="3"/>
        <v>1.325247650488158</v>
      </c>
    </row>
    <row r="76" spans="1:2" ht="13.5">
      <c r="A76">
        <f t="shared" si="2"/>
        <v>0.3595228061819526</v>
      </c>
      <c r="B76">
        <f t="shared" si="3"/>
        <v>1.3252476504881625</v>
      </c>
    </row>
    <row r="77" spans="1:2" ht="13.5">
      <c r="A77">
        <f t="shared" si="2"/>
        <v>0.3595228061819514</v>
      </c>
      <c r="B77">
        <f t="shared" si="3"/>
        <v>1.3252476504881652</v>
      </c>
    </row>
    <row r="78" spans="1:2" ht="13.5">
      <c r="A78">
        <f t="shared" si="2"/>
        <v>0.35952280618195065</v>
      </c>
      <c r="B78">
        <f t="shared" si="3"/>
        <v>1.325247650488167</v>
      </c>
    </row>
    <row r="79" spans="1:2" ht="13.5">
      <c r="A79">
        <f t="shared" si="2"/>
        <v>0.3595228061819502</v>
      </c>
      <c r="B79">
        <f t="shared" si="3"/>
        <v>1.3252476504881678</v>
      </c>
    </row>
    <row r="80" spans="1:2" ht="13.5">
      <c r="A80">
        <f t="shared" si="2"/>
        <v>0.35952280618195</v>
      </c>
      <c r="B80">
        <f t="shared" si="3"/>
        <v>1.3252476504881683</v>
      </c>
    </row>
    <row r="81" spans="1:2" ht="13.5">
      <c r="A81">
        <f t="shared" si="2"/>
        <v>0.35952280618194987</v>
      </c>
      <c r="B81">
        <f t="shared" si="3"/>
        <v>1.3252476504881685</v>
      </c>
    </row>
    <row r="82" spans="1:2" ht="13.5">
      <c r="A82">
        <f t="shared" si="2"/>
        <v>0.3595228061819498</v>
      </c>
      <c r="B82">
        <f t="shared" si="3"/>
        <v>1.3252476504881687</v>
      </c>
    </row>
    <row r="83" spans="1:2" ht="13.5">
      <c r="A83">
        <f aca="true" t="shared" si="4" ref="A83:A114">MIN(1,$A$8/($A$1*B82))</f>
        <v>0.3595228061819497</v>
      </c>
      <c r="B83">
        <f aca="true" t="shared" si="5" ref="B83:B114">$A$2+$A$8*LN(A83)+$A$1*(1-A83)*B82</f>
        <v>1.3252476504881687</v>
      </c>
    </row>
    <row r="84" spans="1:2" ht="13.5">
      <c r="A84">
        <f t="shared" si="4"/>
        <v>0.3595228061819497</v>
      </c>
      <c r="B84">
        <f t="shared" si="5"/>
        <v>1.3252476504881687</v>
      </c>
    </row>
    <row r="85" spans="1:2" ht="13.5">
      <c r="A85">
        <f t="shared" si="4"/>
        <v>0.3595228061819497</v>
      </c>
      <c r="B85">
        <f t="shared" si="5"/>
        <v>1.3252476504881687</v>
      </c>
    </row>
    <row r="86" spans="1:2" ht="13.5">
      <c r="A86">
        <f t="shared" si="4"/>
        <v>0.3595228061819497</v>
      </c>
      <c r="B86">
        <f t="shared" si="5"/>
        <v>1.3252476504881687</v>
      </c>
    </row>
    <row r="87" spans="1:2" ht="13.5">
      <c r="A87">
        <f t="shared" si="4"/>
        <v>0.3595228061819497</v>
      </c>
      <c r="B87">
        <f t="shared" si="5"/>
        <v>1.3252476504881687</v>
      </c>
    </row>
    <row r="88" spans="1:2" ht="13.5">
      <c r="A88">
        <f t="shared" si="4"/>
        <v>0.3595228061819497</v>
      </c>
      <c r="B88">
        <f t="shared" si="5"/>
        <v>1.3252476504881687</v>
      </c>
    </row>
    <row r="89" spans="1:2" ht="13.5">
      <c r="A89">
        <f t="shared" si="4"/>
        <v>0.3595228061819497</v>
      </c>
      <c r="B89">
        <f t="shared" si="5"/>
        <v>1.3252476504881687</v>
      </c>
    </row>
    <row r="90" spans="1:2" ht="13.5">
      <c r="A90">
        <f t="shared" si="4"/>
        <v>0.3595228061819497</v>
      </c>
      <c r="B90">
        <f t="shared" si="5"/>
        <v>1.3252476504881687</v>
      </c>
    </row>
    <row r="91" spans="1:2" ht="13.5">
      <c r="A91">
        <f t="shared" si="4"/>
        <v>0.3595228061819497</v>
      </c>
      <c r="B91">
        <f t="shared" si="5"/>
        <v>1.3252476504881687</v>
      </c>
    </row>
    <row r="92" spans="1:2" ht="13.5">
      <c r="A92">
        <f t="shared" si="4"/>
        <v>0.3595228061819497</v>
      </c>
      <c r="B92">
        <f t="shared" si="5"/>
        <v>1.3252476504881687</v>
      </c>
    </row>
    <row r="93" spans="1:2" ht="13.5">
      <c r="A93">
        <f t="shared" si="4"/>
        <v>0.3595228061819497</v>
      </c>
      <c r="B93">
        <f t="shared" si="5"/>
        <v>1.3252476504881687</v>
      </c>
    </row>
    <row r="94" spans="1:2" ht="13.5">
      <c r="A94">
        <f t="shared" si="4"/>
        <v>0.3595228061819497</v>
      </c>
      <c r="B94">
        <f t="shared" si="5"/>
        <v>1.3252476504881687</v>
      </c>
    </row>
    <row r="95" spans="1:2" ht="13.5">
      <c r="A95">
        <f t="shared" si="4"/>
        <v>0.3595228061819497</v>
      </c>
      <c r="B95">
        <f t="shared" si="5"/>
        <v>1.3252476504881687</v>
      </c>
    </row>
    <row r="96" spans="1:2" ht="13.5">
      <c r="A96">
        <f t="shared" si="4"/>
        <v>0.3595228061819497</v>
      </c>
      <c r="B96">
        <f t="shared" si="5"/>
        <v>1.3252476504881687</v>
      </c>
    </row>
    <row r="97" spans="1:2" ht="13.5">
      <c r="A97">
        <f t="shared" si="4"/>
        <v>0.3595228061819497</v>
      </c>
      <c r="B97">
        <f t="shared" si="5"/>
        <v>1.3252476504881687</v>
      </c>
    </row>
    <row r="98" spans="1:2" ht="13.5">
      <c r="A98">
        <f t="shared" si="4"/>
        <v>0.3595228061819497</v>
      </c>
      <c r="B98">
        <f t="shared" si="5"/>
        <v>1.3252476504881687</v>
      </c>
    </row>
    <row r="99" spans="1:2" ht="13.5">
      <c r="A99">
        <f t="shared" si="4"/>
        <v>0.3595228061819497</v>
      </c>
      <c r="B99">
        <f t="shared" si="5"/>
        <v>1.3252476504881687</v>
      </c>
    </row>
    <row r="100" spans="1:2" ht="13.5">
      <c r="A100">
        <f t="shared" si="4"/>
        <v>0.3595228061819497</v>
      </c>
      <c r="B100">
        <f t="shared" si="5"/>
        <v>1.3252476504881687</v>
      </c>
    </row>
    <row r="101" spans="1:2" ht="13.5">
      <c r="A101">
        <f t="shared" si="4"/>
        <v>0.3595228061819497</v>
      </c>
      <c r="B101">
        <f t="shared" si="5"/>
        <v>1.3252476504881687</v>
      </c>
    </row>
    <row r="102" spans="1:2" ht="13.5">
      <c r="A102">
        <f t="shared" si="4"/>
        <v>0.3595228061819497</v>
      </c>
      <c r="B102">
        <f t="shared" si="5"/>
        <v>1.3252476504881687</v>
      </c>
    </row>
    <row r="103" spans="1:2" ht="13.5">
      <c r="A103">
        <f t="shared" si="4"/>
        <v>0.3595228061819497</v>
      </c>
      <c r="B103">
        <f t="shared" si="5"/>
        <v>1.3252476504881687</v>
      </c>
    </row>
    <row r="104" spans="1:2" ht="13.5">
      <c r="A104">
        <f t="shared" si="4"/>
        <v>0.3595228061819497</v>
      </c>
      <c r="B104">
        <f t="shared" si="5"/>
        <v>1.3252476504881687</v>
      </c>
    </row>
    <row r="105" spans="1:2" ht="13.5">
      <c r="A105">
        <f t="shared" si="4"/>
        <v>0.3595228061819497</v>
      </c>
      <c r="B105">
        <f t="shared" si="5"/>
        <v>1.3252476504881687</v>
      </c>
    </row>
    <row r="106" spans="1:2" ht="13.5">
      <c r="A106">
        <f t="shared" si="4"/>
        <v>0.3595228061819497</v>
      </c>
      <c r="B106">
        <f t="shared" si="5"/>
        <v>1.3252476504881687</v>
      </c>
    </row>
    <row r="107" spans="1:2" ht="13.5">
      <c r="A107">
        <f t="shared" si="4"/>
        <v>0.3595228061819497</v>
      </c>
      <c r="B107">
        <f t="shared" si="5"/>
        <v>1.3252476504881687</v>
      </c>
    </row>
    <row r="108" spans="1:2" ht="13.5">
      <c r="A108">
        <f t="shared" si="4"/>
        <v>0.3595228061819497</v>
      </c>
      <c r="B108">
        <f t="shared" si="5"/>
        <v>1.3252476504881687</v>
      </c>
    </row>
    <row r="109" spans="1:2" ht="13.5">
      <c r="A109">
        <f t="shared" si="4"/>
        <v>0.3595228061819497</v>
      </c>
      <c r="B109">
        <f t="shared" si="5"/>
        <v>1.3252476504881687</v>
      </c>
    </row>
    <row r="110" spans="1:2" ht="13.5">
      <c r="A110">
        <f t="shared" si="4"/>
        <v>0.3595228061819497</v>
      </c>
      <c r="B110">
        <f t="shared" si="5"/>
        <v>1.3252476504881687</v>
      </c>
    </row>
    <row r="111" spans="1:2" ht="13.5">
      <c r="A111">
        <f t="shared" si="4"/>
        <v>0.3595228061819497</v>
      </c>
      <c r="B111">
        <f t="shared" si="5"/>
        <v>1.3252476504881687</v>
      </c>
    </row>
    <row r="112" spans="1:2" ht="13.5">
      <c r="A112">
        <f t="shared" si="4"/>
        <v>0.3595228061819497</v>
      </c>
      <c r="B112">
        <f t="shared" si="5"/>
        <v>1.3252476504881687</v>
      </c>
    </row>
    <row r="113" spans="1:2" ht="13.5">
      <c r="A113">
        <f t="shared" si="4"/>
        <v>0.3595228061819497</v>
      </c>
      <c r="B113">
        <f t="shared" si="5"/>
        <v>1.3252476504881687</v>
      </c>
    </row>
    <row r="114" spans="1:2" ht="13.5">
      <c r="A114">
        <f t="shared" si="4"/>
        <v>0.3595228061819497</v>
      </c>
      <c r="B114">
        <f t="shared" si="5"/>
        <v>1.3252476504881687</v>
      </c>
    </row>
    <row r="115" spans="1:2" ht="13.5">
      <c r="A115">
        <f aca="true" t="shared" si="6" ref="A115:A146">MIN(1,$A$8/($A$1*B114))</f>
        <v>0.3595228061819497</v>
      </c>
      <c r="B115">
        <f aca="true" t="shared" si="7" ref="B115:B146">$A$2+$A$8*LN(A115)+$A$1*(1-A115)*B114</f>
        <v>1.3252476504881687</v>
      </c>
    </row>
    <row r="116" spans="1:2" ht="13.5">
      <c r="A116">
        <f t="shared" si="6"/>
        <v>0.3595228061819497</v>
      </c>
      <c r="B116">
        <f t="shared" si="7"/>
        <v>1.3252476504881687</v>
      </c>
    </row>
    <row r="117" spans="1:2" ht="13.5">
      <c r="A117">
        <f t="shared" si="6"/>
        <v>0.3595228061819497</v>
      </c>
      <c r="B117">
        <f t="shared" si="7"/>
        <v>1.3252476504881687</v>
      </c>
    </row>
    <row r="118" spans="1:2" ht="13.5">
      <c r="A118">
        <f t="shared" si="6"/>
        <v>0.3595228061819497</v>
      </c>
      <c r="B118">
        <f t="shared" si="7"/>
        <v>1.3252476504881687</v>
      </c>
    </row>
    <row r="119" spans="1:2" ht="13.5">
      <c r="A119">
        <f t="shared" si="6"/>
        <v>0.3595228061819497</v>
      </c>
      <c r="B119">
        <f t="shared" si="7"/>
        <v>1.3252476504881687</v>
      </c>
    </row>
    <row r="120" spans="1:2" ht="13.5">
      <c r="A120">
        <f t="shared" si="6"/>
        <v>0.3595228061819497</v>
      </c>
      <c r="B120">
        <f t="shared" si="7"/>
        <v>1.3252476504881687</v>
      </c>
    </row>
    <row r="121" spans="1:2" ht="13.5">
      <c r="A121">
        <f t="shared" si="6"/>
        <v>0.3595228061819497</v>
      </c>
      <c r="B121">
        <f t="shared" si="7"/>
        <v>1.3252476504881687</v>
      </c>
    </row>
    <row r="122" spans="1:2" ht="13.5">
      <c r="A122">
        <f t="shared" si="6"/>
        <v>0.3595228061819497</v>
      </c>
      <c r="B122">
        <f t="shared" si="7"/>
        <v>1.3252476504881687</v>
      </c>
    </row>
    <row r="123" spans="1:2" ht="13.5">
      <c r="A123">
        <f t="shared" si="6"/>
        <v>0.3595228061819497</v>
      </c>
      <c r="B123">
        <f t="shared" si="7"/>
        <v>1.3252476504881687</v>
      </c>
    </row>
    <row r="124" spans="1:2" ht="13.5">
      <c r="A124">
        <f t="shared" si="6"/>
        <v>0.3595228061819497</v>
      </c>
      <c r="B124">
        <f t="shared" si="7"/>
        <v>1.3252476504881687</v>
      </c>
    </row>
    <row r="125" spans="1:2" ht="13.5">
      <c r="A125">
        <f t="shared" si="6"/>
        <v>0.3595228061819497</v>
      </c>
      <c r="B125">
        <f t="shared" si="7"/>
        <v>1.3252476504881687</v>
      </c>
    </row>
    <row r="126" spans="1:2" ht="13.5">
      <c r="A126">
        <f t="shared" si="6"/>
        <v>0.3595228061819497</v>
      </c>
      <c r="B126">
        <f t="shared" si="7"/>
        <v>1.3252476504881687</v>
      </c>
    </row>
    <row r="127" spans="1:2" ht="13.5">
      <c r="A127">
        <f t="shared" si="6"/>
        <v>0.3595228061819497</v>
      </c>
      <c r="B127">
        <f t="shared" si="7"/>
        <v>1.3252476504881687</v>
      </c>
    </row>
    <row r="128" spans="1:2" ht="13.5">
      <c r="A128">
        <f t="shared" si="6"/>
        <v>0.3595228061819497</v>
      </c>
      <c r="B128">
        <f t="shared" si="7"/>
        <v>1.3252476504881687</v>
      </c>
    </row>
    <row r="129" spans="1:2" ht="13.5">
      <c r="A129">
        <f t="shared" si="6"/>
        <v>0.3595228061819497</v>
      </c>
      <c r="B129">
        <f t="shared" si="7"/>
        <v>1.3252476504881687</v>
      </c>
    </row>
    <row r="130" spans="1:2" ht="13.5">
      <c r="A130">
        <f t="shared" si="6"/>
        <v>0.3595228061819497</v>
      </c>
      <c r="B130">
        <f t="shared" si="7"/>
        <v>1.3252476504881687</v>
      </c>
    </row>
    <row r="131" spans="1:2" ht="13.5">
      <c r="A131">
        <f t="shared" si="6"/>
        <v>0.3595228061819497</v>
      </c>
      <c r="B131">
        <f t="shared" si="7"/>
        <v>1.3252476504881687</v>
      </c>
    </row>
    <row r="132" spans="1:2" ht="13.5">
      <c r="A132">
        <f t="shared" si="6"/>
        <v>0.3595228061819497</v>
      </c>
      <c r="B132">
        <f t="shared" si="7"/>
        <v>1.3252476504881687</v>
      </c>
    </row>
    <row r="133" spans="1:2" ht="13.5">
      <c r="A133">
        <f t="shared" si="6"/>
        <v>0.3595228061819497</v>
      </c>
      <c r="B133">
        <f t="shared" si="7"/>
        <v>1.3252476504881687</v>
      </c>
    </row>
    <row r="134" spans="1:2" ht="13.5">
      <c r="A134">
        <f t="shared" si="6"/>
        <v>0.3595228061819497</v>
      </c>
      <c r="B134">
        <f t="shared" si="7"/>
        <v>1.3252476504881687</v>
      </c>
    </row>
    <row r="135" spans="1:2" ht="13.5">
      <c r="A135">
        <f t="shared" si="6"/>
        <v>0.3595228061819497</v>
      </c>
      <c r="B135">
        <f t="shared" si="7"/>
        <v>1.3252476504881687</v>
      </c>
    </row>
    <row r="136" spans="1:2" ht="13.5">
      <c r="A136">
        <f t="shared" si="6"/>
        <v>0.3595228061819497</v>
      </c>
      <c r="B136">
        <f t="shared" si="7"/>
        <v>1.3252476504881687</v>
      </c>
    </row>
    <row r="137" spans="1:2" ht="13.5">
      <c r="A137">
        <f t="shared" si="6"/>
        <v>0.3595228061819497</v>
      </c>
      <c r="B137">
        <f t="shared" si="7"/>
        <v>1.3252476504881687</v>
      </c>
    </row>
    <row r="138" spans="1:2" ht="13.5">
      <c r="A138">
        <f t="shared" si="6"/>
        <v>0.3595228061819497</v>
      </c>
      <c r="B138">
        <f t="shared" si="7"/>
        <v>1.3252476504881687</v>
      </c>
    </row>
    <row r="139" spans="1:2" ht="13.5">
      <c r="A139">
        <f t="shared" si="6"/>
        <v>0.3595228061819497</v>
      </c>
      <c r="B139">
        <f t="shared" si="7"/>
        <v>1.3252476504881687</v>
      </c>
    </row>
    <row r="140" spans="1:2" ht="13.5">
      <c r="A140">
        <f t="shared" si="6"/>
        <v>0.3595228061819497</v>
      </c>
      <c r="B140">
        <f t="shared" si="7"/>
        <v>1.3252476504881687</v>
      </c>
    </row>
    <row r="141" spans="1:2" ht="13.5">
      <c r="A141">
        <f t="shared" si="6"/>
        <v>0.3595228061819497</v>
      </c>
      <c r="B141">
        <f t="shared" si="7"/>
        <v>1.3252476504881687</v>
      </c>
    </row>
    <row r="142" spans="1:2" ht="13.5">
      <c r="A142">
        <f t="shared" si="6"/>
        <v>0.3595228061819497</v>
      </c>
      <c r="B142">
        <f t="shared" si="7"/>
        <v>1.3252476504881687</v>
      </c>
    </row>
    <row r="143" spans="1:2" ht="13.5">
      <c r="A143">
        <f t="shared" si="6"/>
        <v>0.3595228061819497</v>
      </c>
      <c r="B143">
        <f t="shared" si="7"/>
        <v>1.3252476504881687</v>
      </c>
    </row>
    <row r="144" spans="1:2" ht="13.5">
      <c r="A144">
        <f t="shared" si="6"/>
        <v>0.3595228061819497</v>
      </c>
      <c r="B144">
        <f t="shared" si="7"/>
        <v>1.3252476504881687</v>
      </c>
    </row>
    <row r="145" spans="1:2" ht="13.5">
      <c r="A145">
        <f t="shared" si="6"/>
        <v>0.3595228061819497</v>
      </c>
      <c r="B145">
        <f t="shared" si="7"/>
        <v>1.3252476504881687</v>
      </c>
    </row>
    <row r="146" spans="1:2" ht="13.5">
      <c r="A146">
        <f t="shared" si="6"/>
        <v>0.3595228061819497</v>
      </c>
      <c r="B146">
        <f t="shared" si="7"/>
        <v>1.3252476504881687</v>
      </c>
    </row>
    <row r="147" spans="1:2" ht="13.5">
      <c r="A147">
        <f aca="true" t="shared" si="8" ref="A147:A178">MIN(1,$A$8/($A$1*B146))</f>
        <v>0.3595228061819497</v>
      </c>
      <c r="B147">
        <f aca="true" t="shared" si="9" ref="B147:B178">$A$2+$A$8*LN(A147)+$A$1*(1-A147)*B146</f>
        <v>1.3252476504881687</v>
      </c>
    </row>
    <row r="148" spans="1:2" ht="13.5">
      <c r="A148">
        <f t="shared" si="8"/>
        <v>0.3595228061819497</v>
      </c>
      <c r="B148">
        <f t="shared" si="9"/>
        <v>1.3252476504881687</v>
      </c>
    </row>
    <row r="149" spans="1:2" ht="13.5">
      <c r="A149">
        <f t="shared" si="8"/>
        <v>0.3595228061819497</v>
      </c>
      <c r="B149">
        <f t="shared" si="9"/>
        <v>1.3252476504881687</v>
      </c>
    </row>
    <row r="150" spans="1:2" ht="13.5">
      <c r="A150">
        <f t="shared" si="8"/>
        <v>0.3595228061819497</v>
      </c>
      <c r="B150">
        <f t="shared" si="9"/>
        <v>1.3252476504881687</v>
      </c>
    </row>
    <row r="151" spans="1:2" ht="13.5">
      <c r="A151">
        <f t="shared" si="8"/>
        <v>0.3595228061819497</v>
      </c>
      <c r="B151">
        <f t="shared" si="9"/>
        <v>1.3252476504881687</v>
      </c>
    </row>
    <row r="152" spans="1:2" ht="13.5">
      <c r="A152">
        <f t="shared" si="8"/>
        <v>0.3595228061819497</v>
      </c>
      <c r="B152">
        <f t="shared" si="9"/>
        <v>1.3252476504881687</v>
      </c>
    </row>
    <row r="153" spans="1:2" ht="13.5">
      <c r="A153">
        <f t="shared" si="8"/>
        <v>0.3595228061819497</v>
      </c>
      <c r="B153">
        <f t="shared" si="9"/>
        <v>1.3252476504881687</v>
      </c>
    </row>
    <row r="154" spans="1:2" ht="13.5">
      <c r="A154">
        <f t="shared" si="8"/>
        <v>0.3595228061819497</v>
      </c>
      <c r="B154">
        <f t="shared" si="9"/>
        <v>1.3252476504881687</v>
      </c>
    </row>
    <row r="155" spans="1:2" ht="13.5">
      <c r="A155">
        <f t="shared" si="8"/>
        <v>0.3595228061819497</v>
      </c>
      <c r="B155">
        <f t="shared" si="9"/>
        <v>1.3252476504881687</v>
      </c>
    </row>
    <row r="156" spans="1:2" ht="13.5">
      <c r="A156">
        <f t="shared" si="8"/>
        <v>0.3595228061819497</v>
      </c>
      <c r="B156">
        <f t="shared" si="9"/>
        <v>1.3252476504881687</v>
      </c>
    </row>
    <row r="157" spans="1:2" ht="13.5">
      <c r="A157">
        <f t="shared" si="8"/>
        <v>0.3595228061819497</v>
      </c>
      <c r="B157">
        <f t="shared" si="9"/>
        <v>1.3252476504881687</v>
      </c>
    </row>
    <row r="158" spans="1:2" ht="13.5">
      <c r="A158">
        <f t="shared" si="8"/>
        <v>0.3595228061819497</v>
      </c>
      <c r="B158">
        <f t="shared" si="9"/>
        <v>1.3252476504881687</v>
      </c>
    </row>
    <row r="159" spans="1:2" ht="13.5">
      <c r="A159">
        <f t="shared" si="8"/>
        <v>0.3595228061819497</v>
      </c>
      <c r="B159">
        <f t="shared" si="9"/>
        <v>1.3252476504881687</v>
      </c>
    </row>
    <row r="160" spans="1:2" ht="13.5">
      <c r="A160">
        <f t="shared" si="8"/>
        <v>0.3595228061819497</v>
      </c>
      <c r="B160">
        <f t="shared" si="9"/>
        <v>1.3252476504881687</v>
      </c>
    </row>
    <row r="161" spans="1:2" ht="13.5">
      <c r="A161">
        <f t="shared" si="8"/>
        <v>0.3595228061819497</v>
      </c>
      <c r="B161">
        <f t="shared" si="9"/>
        <v>1.3252476504881687</v>
      </c>
    </row>
    <row r="162" spans="1:2" ht="13.5">
      <c r="A162">
        <f t="shared" si="8"/>
        <v>0.3595228061819497</v>
      </c>
      <c r="B162">
        <f t="shared" si="9"/>
        <v>1.3252476504881687</v>
      </c>
    </row>
    <row r="163" spans="1:2" ht="13.5">
      <c r="A163">
        <f t="shared" si="8"/>
        <v>0.3595228061819497</v>
      </c>
      <c r="B163">
        <f t="shared" si="9"/>
        <v>1.3252476504881687</v>
      </c>
    </row>
    <row r="164" spans="1:2" ht="13.5">
      <c r="A164">
        <f t="shared" si="8"/>
        <v>0.3595228061819497</v>
      </c>
      <c r="B164">
        <f t="shared" si="9"/>
        <v>1.3252476504881687</v>
      </c>
    </row>
    <row r="165" spans="1:2" ht="13.5">
      <c r="A165">
        <f t="shared" si="8"/>
        <v>0.3595228061819497</v>
      </c>
      <c r="B165">
        <f t="shared" si="9"/>
        <v>1.3252476504881687</v>
      </c>
    </row>
    <row r="166" spans="1:2" ht="13.5">
      <c r="A166">
        <f t="shared" si="8"/>
        <v>0.3595228061819497</v>
      </c>
      <c r="B166">
        <f t="shared" si="9"/>
        <v>1.3252476504881687</v>
      </c>
    </row>
    <row r="167" spans="1:2" ht="13.5">
      <c r="A167">
        <f t="shared" si="8"/>
        <v>0.3595228061819497</v>
      </c>
      <c r="B167">
        <f t="shared" si="9"/>
        <v>1.3252476504881687</v>
      </c>
    </row>
    <row r="168" spans="1:2" ht="13.5">
      <c r="A168">
        <f t="shared" si="8"/>
        <v>0.3595228061819497</v>
      </c>
      <c r="B168">
        <f t="shared" si="9"/>
        <v>1.3252476504881687</v>
      </c>
    </row>
    <row r="169" spans="1:2" ht="13.5">
      <c r="A169">
        <f t="shared" si="8"/>
        <v>0.3595228061819497</v>
      </c>
      <c r="B169">
        <f t="shared" si="9"/>
        <v>1.3252476504881687</v>
      </c>
    </row>
    <row r="170" spans="1:2" ht="13.5">
      <c r="A170">
        <f t="shared" si="8"/>
        <v>0.3595228061819497</v>
      </c>
      <c r="B170">
        <f t="shared" si="9"/>
        <v>1.3252476504881687</v>
      </c>
    </row>
    <row r="171" spans="1:2" ht="13.5">
      <c r="A171">
        <f t="shared" si="8"/>
        <v>0.3595228061819497</v>
      </c>
      <c r="B171">
        <f t="shared" si="9"/>
        <v>1.3252476504881687</v>
      </c>
    </row>
    <row r="172" spans="1:2" ht="13.5">
      <c r="A172">
        <f t="shared" si="8"/>
        <v>0.3595228061819497</v>
      </c>
      <c r="B172">
        <f t="shared" si="9"/>
        <v>1.3252476504881687</v>
      </c>
    </row>
    <row r="173" spans="1:2" ht="13.5">
      <c r="A173">
        <f t="shared" si="8"/>
        <v>0.3595228061819497</v>
      </c>
      <c r="B173">
        <f t="shared" si="9"/>
        <v>1.3252476504881687</v>
      </c>
    </row>
    <row r="174" spans="1:2" ht="13.5">
      <c r="A174">
        <f t="shared" si="8"/>
        <v>0.3595228061819497</v>
      </c>
      <c r="B174">
        <f t="shared" si="9"/>
        <v>1.3252476504881687</v>
      </c>
    </row>
    <row r="175" spans="1:2" ht="13.5">
      <c r="A175">
        <f t="shared" si="8"/>
        <v>0.3595228061819497</v>
      </c>
      <c r="B175">
        <f t="shared" si="9"/>
        <v>1.3252476504881687</v>
      </c>
    </row>
    <row r="176" spans="1:2" ht="13.5">
      <c r="A176">
        <f t="shared" si="8"/>
        <v>0.3595228061819497</v>
      </c>
      <c r="B176">
        <f t="shared" si="9"/>
        <v>1.3252476504881687</v>
      </c>
    </row>
    <row r="177" spans="1:2" ht="13.5">
      <c r="A177">
        <f t="shared" si="8"/>
        <v>0.3595228061819497</v>
      </c>
      <c r="B177">
        <f t="shared" si="9"/>
        <v>1.3252476504881687</v>
      </c>
    </row>
    <row r="178" spans="1:2" ht="13.5">
      <c r="A178">
        <f t="shared" si="8"/>
        <v>0.3595228061819497</v>
      </c>
      <c r="B178">
        <f t="shared" si="9"/>
        <v>1.3252476504881687</v>
      </c>
    </row>
    <row r="179" spans="1:2" ht="13.5">
      <c r="A179">
        <f aca="true" t="shared" si="10" ref="A179:A210">MIN(1,$A$8/($A$1*B178))</f>
        <v>0.3595228061819497</v>
      </c>
      <c r="B179">
        <f aca="true" t="shared" si="11" ref="B179:B210">$A$2+$A$8*LN(A179)+$A$1*(1-A179)*B178</f>
        <v>1.3252476504881687</v>
      </c>
    </row>
    <row r="180" spans="1:2" ht="13.5">
      <c r="A180">
        <f t="shared" si="10"/>
        <v>0.3595228061819497</v>
      </c>
      <c r="B180">
        <f t="shared" si="11"/>
        <v>1.3252476504881687</v>
      </c>
    </row>
    <row r="181" spans="1:2" ht="13.5">
      <c r="A181">
        <f t="shared" si="10"/>
        <v>0.3595228061819497</v>
      </c>
      <c r="B181">
        <f t="shared" si="11"/>
        <v>1.3252476504881687</v>
      </c>
    </row>
    <row r="182" spans="1:2" ht="13.5">
      <c r="A182">
        <f t="shared" si="10"/>
        <v>0.3595228061819497</v>
      </c>
      <c r="B182">
        <f t="shared" si="11"/>
        <v>1.3252476504881687</v>
      </c>
    </row>
    <row r="183" spans="1:2" ht="13.5">
      <c r="A183">
        <f t="shared" si="10"/>
        <v>0.3595228061819497</v>
      </c>
      <c r="B183">
        <f t="shared" si="11"/>
        <v>1.3252476504881687</v>
      </c>
    </row>
    <row r="184" spans="1:2" ht="13.5">
      <c r="A184">
        <f t="shared" si="10"/>
        <v>0.3595228061819497</v>
      </c>
      <c r="B184">
        <f t="shared" si="11"/>
        <v>1.3252476504881687</v>
      </c>
    </row>
    <row r="185" spans="1:2" ht="13.5">
      <c r="A185">
        <f t="shared" si="10"/>
        <v>0.3595228061819497</v>
      </c>
      <c r="B185">
        <f t="shared" si="11"/>
        <v>1.3252476504881687</v>
      </c>
    </row>
    <row r="186" spans="1:2" ht="13.5">
      <c r="A186">
        <f t="shared" si="10"/>
        <v>0.3595228061819497</v>
      </c>
      <c r="B186">
        <f t="shared" si="11"/>
        <v>1.3252476504881687</v>
      </c>
    </row>
    <row r="187" spans="1:2" ht="13.5">
      <c r="A187">
        <f t="shared" si="10"/>
        <v>0.3595228061819497</v>
      </c>
      <c r="B187">
        <f t="shared" si="11"/>
        <v>1.3252476504881687</v>
      </c>
    </row>
    <row r="188" spans="1:2" ht="13.5">
      <c r="A188">
        <f t="shared" si="10"/>
        <v>0.3595228061819497</v>
      </c>
      <c r="B188">
        <f t="shared" si="11"/>
        <v>1.3252476504881687</v>
      </c>
    </row>
    <row r="189" spans="1:2" ht="13.5">
      <c r="A189">
        <f t="shared" si="10"/>
        <v>0.3595228061819497</v>
      </c>
      <c r="B189">
        <f t="shared" si="11"/>
        <v>1.3252476504881687</v>
      </c>
    </row>
    <row r="190" spans="1:2" ht="13.5">
      <c r="A190">
        <f t="shared" si="10"/>
        <v>0.3595228061819497</v>
      </c>
      <c r="B190">
        <f t="shared" si="11"/>
        <v>1.3252476504881687</v>
      </c>
    </row>
    <row r="191" spans="1:2" ht="13.5">
      <c r="A191">
        <f t="shared" si="10"/>
        <v>0.3595228061819497</v>
      </c>
      <c r="B191">
        <f t="shared" si="11"/>
        <v>1.3252476504881687</v>
      </c>
    </row>
    <row r="192" spans="1:2" ht="13.5">
      <c r="A192">
        <f t="shared" si="10"/>
        <v>0.3595228061819497</v>
      </c>
      <c r="B192">
        <f t="shared" si="11"/>
        <v>1.3252476504881687</v>
      </c>
    </row>
    <row r="193" spans="1:2" ht="13.5">
      <c r="A193">
        <f t="shared" si="10"/>
        <v>0.3595228061819497</v>
      </c>
      <c r="B193">
        <f t="shared" si="11"/>
        <v>1.3252476504881687</v>
      </c>
    </row>
    <row r="194" spans="1:2" ht="13.5">
      <c r="A194">
        <f t="shared" si="10"/>
        <v>0.3595228061819497</v>
      </c>
      <c r="B194">
        <f t="shared" si="11"/>
        <v>1.3252476504881687</v>
      </c>
    </row>
    <row r="195" spans="1:2" ht="13.5">
      <c r="A195">
        <f t="shared" si="10"/>
        <v>0.3595228061819497</v>
      </c>
      <c r="B195">
        <f t="shared" si="11"/>
        <v>1.3252476504881687</v>
      </c>
    </row>
    <row r="196" spans="1:2" ht="13.5">
      <c r="A196">
        <f t="shared" si="10"/>
        <v>0.3595228061819497</v>
      </c>
      <c r="B196">
        <f t="shared" si="11"/>
        <v>1.3252476504881687</v>
      </c>
    </row>
    <row r="197" spans="1:2" ht="13.5">
      <c r="A197">
        <f t="shared" si="10"/>
        <v>0.3595228061819497</v>
      </c>
      <c r="B197">
        <f t="shared" si="11"/>
        <v>1.3252476504881687</v>
      </c>
    </row>
    <row r="198" spans="1:2" ht="13.5">
      <c r="A198">
        <f t="shared" si="10"/>
        <v>0.3595228061819497</v>
      </c>
      <c r="B198">
        <f t="shared" si="11"/>
        <v>1.3252476504881687</v>
      </c>
    </row>
    <row r="199" spans="1:2" ht="13.5">
      <c r="A199">
        <f t="shared" si="10"/>
        <v>0.3595228061819497</v>
      </c>
      <c r="B199">
        <f t="shared" si="11"/>
        <v>1.3252476504881687</v>
      </c>
    </row>
    <row r="200" spans="1:2" ht="13.5">
      <c r="A200">
        <f t="shared" si="10"/>
        <v>0.3595228061819497</v>
      </c>
      <c r="B200">
        <f t="shared" si="11"/>
        <v>1.3252476504881687</v>
      </c>
    </row>
    <row r="201" spans="1:2" ht="13.5">
      <c r="A201">
        <f t="shared" si="10"/>
        <v>0.3595228061819497</v>
      </c>
      <c r="B201">
        <f t="shared" si="11"/>
        <v>1.3252476504881687</v>
      </c>
    </row>
    <row r="202" spans="1:2" ht="13.5">
      <c r="A202">
        <f t="shared" si="10"/>
        <v>0.3595228061819497</v>
      </c>
      <c r="B202">
        <f t="shared" si="11"/>
        <v>1.3252476504881687</v>
      </c>
    </row>
    <row r="203" spans="1:2" ht="13.5">
      <c r="A203">
        <f t="shared" si="10"/>
        <v>0.3595228061819497</v>
      </c>
      <c r="B203">
        <f t="shared" si="11"/>
        <v>1.3252476504881687</v>
      </c>
    </row>
    <row r="204" spans="1:2" ht="13.5">
      <c r="A204">
        <f t="shared" si="10"/>
        <v>0.3595228061819497</v>
      </c>
      <c r="B204">
        <f t="shared" si="11"/>
        <v>1.3252476504881687</v>
      </c>
    </row>
    <row r="205" spans="1:2" ht="13.5">
      <c r="A205">
        <f t="shared" si="10"/>
        <v>0.3595228061819497</v>
      </c>
      <c r="B205">
        <f t="shared" si="11"/>
        <v>1.3252476504881687</v>
      </c>
    </row>
    <row r="206" spans="1:2" ht="13.5">
      <c r="A206">
        <f t="shared" si="10"/>
        <v>0.3595228061819497</v>
      </c>
      <c r="B206">
        <f t="shared" si="11"/>
        <v>1.3252476504881687</v>
      </c>
    </row>
    <row r="207" spans="1:2" ht="13.5">
      <c r="A207">
        <f t="shared" si="10"/>
        <v>0.3595228061819497</v>
      </c>
      <c r="B207">
        <f t="shared" si="11"/>
        <v>1.3252476504881687</v>
      </c>
    </row>
    <row r="208" spans="1:2" ht="13.5">
      <c r="A208">
        <f t="shared" si="10"/>
        <v>0.3595228061819497</v>
      </c>
      <c r="B208">
        <f t="shared" si="11"/>
        <v>1.3252476504881687</v>
      </c>
    </row>
    <row r="209" spans="1:2" ht="13.5">
      <c r="A209">
        <f t="shared" si="10"/>
        <v>0.3595228061819497</v>
      </c>
      <c r="B209">
        <f t="shared" si="11"/>
        <v>1.3252476504881687</v>
      </c>
    </row>
    <row r="210" spans="1:2" ht="13.5">
      <c r="A210">
        <f t="shared" si="10"/>
        <v>0.3595228061819497</v>
      </c>
      <c r="B210">
        <f t="shared" si="11"/>
        <v>1.3252476504881687</v>
      </c>
    </row>
    <row r="211" spans="1:2" ht="13.5">
      <c r="A211">
        <f aca="true" t="shared" si="12" ref="A211:A218">MIN(1,$A$8/($A$1*B210))</f>
        <v>0.3595228061819497</v>
      </c>
      <c r="B211">
        <f aca="true" t="shared" si="13" ref="B211:B218">$A$2+$A$8*LN(A211)+$A$1*(1-A211)*B210</f>
        <v>1.3252476504881687</v>
      </c>
    </row>
    <row r="212" spans="1:2" ht="13.5">
      <c r="A212">
        <f t="shared" si="12"/>
        <v>0.3595228061819497</v>
      </c>
      <c r="B212">
        <f t="shared" si="13"/>
        <v>1.3252476504881687</v>
      </c>
    </row>
    <row r="213" spans="1:2" ht="13.5">
      <c r="A213">
        <f t="shared" si="12"/>
        <v>0.3595228061819497</v>
      </c>
      <c r="B213">
        <f t="shared" si="13"/>
        <v>1.3252476504881687</v>
      </c>
    </row>
    <row r="214" spans="1:2" ht="13.5">
      <c r="A214">
        <f t="shared" si="12"/>
        <v>0.3595228061819497</v>
      </c>
      <c r="B214">
        <f t="shared" si="13"/>
        <v>1.3252476504881687</v>
      </c>
    </row>
    <row r="215" spans="1:2" ht="13.5">
      <c r="A215">
        <f t="shared" si="12"/>
        <v>0.3595228061819497</v>
      </c>
      <c r="B215">
        <f t="shared" si="13"/>
        <v>1.3252476504881687</v>
      </c>
    </row>
    <row r="216" spans="1:2" ht="13.5">
      <c r="A216">
        <f t="shared" si="12"/>
        <v>0.3595228061819497</v>
      </c>
      <c r="B216">
        <f t="shared" si="13"/>
        <v>1.3252476504881687</v>
      </c>
    </row>
    <row r="217" spans="1:2" ht="13.5">
      <c r="A217">
        <f t="shared" si="12"/>
        <v>0.3595228061819497</v>
      </c>
      <c r="B217">
        <f t="shared" si="13"/>
        <v>1.3252476504881687</v>
      </c>
    </row>
    <row r="218" spans="1:2" ht="13.5">
      <c r="A218">
        <f t="shared" si="12"/>
        <v>0.3595228061819497</v>
      </c>
      <c r="B218">
        <f t="shared" si="13"/>
        <v>1.3252476504881687</v>
      </c>
    </row>
  </sheetData>
  <printOptions gridLines="1" headings="1"/>
  <pageMargins left="1" right="1" top="1" bottom="1" header="0.5" footer="0.5"/>
  <pageSetup horizontalDpi="96" verticalDpi="96" orientation="landscape" r:id="rId1"/>
  <rowBreaks count="1" manualBreakCount="1">
    <brk id="3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M317"/>
  <sheetViews>
    <sheetView workbookViewId="0" topLeftCell="A1">
      <selection activeCell="A1" sqref="A1"/>
    </sheetView>
  </sheetViews>
  <sheetFormatPr defaultColWidth="9.00390625" defaultRowHeight="13.5"/>
  <cols>
    <col min="1" max="11" width="8.875" style="0" customWidth="1"/>
    <col min="12" max="12" width="9.875" style="0" customWidth="1"/>
    <col min="13" max="21" width="8.875" style="0" customWidth="1"/>
    <col min="22" max="22" width="10.625" style="0" customWidth="1"/>
    <col min="23" max="16384" width="8.875" style="0" customWidth="1"/>
  </cols>
  <sheetData>
    <row r="1" spans="1:12" ht="13.5">
      <c r="A1">
        <v>0.4</v>
      </c>
      <c r="B1" t="s">
        <v>4</v>
      </c>
      <c r="C1" s="1" t="s">
        <v>198</v>
      </c>
      <c r="L1" s="1" t="s">
        <v>110</v>
      </c>
    </row>
    <row r="2" spans="1:12" ht="13.5">
      <c r="A2">
        <v>0.1</v>
      </c>
      <c r="B2" t="s">
        <v>6</v>
      </c>
      <c r="C2" s="1" t="s">
        <v>199</v>
      </c>
      <c r="L2" t="s">
        <v>210</v>
      </c>
    </row>
    <row r="3" spans="2:12" ht="13.5">
      <c r="B3">
        <f>1-A1-A2</f>
        <v>0.5</v>
      </c>
      <c r="C3" s="1" t="s">
        <v>200</v>
      </c>
      <c r="L3" t="s">
        <v>276</v>
      </c>
    </row>
    <row r="4" spans="1:12" ht="13.5">
      <c r="A4">
        <v>1</v>
      </c>
      <c r="B4" t="s">
        <v>11</v>
      </c>
      <c r="C4" s="1" t="s">
        <v>341</v>
      </c>
      <c r="L4" t="s">
        <v>336</v>
      </c>
    </row>
    <row r="5" spans="1:12" ht="13.5">
      <c r="A5">
        <v>1</v>
      </c>
      <c r="B5" t="s">
        <v>1</v>
      </c>
      <c r="C5" s="1" t="s">
        <v>201</v>
      </c>
      <c r="L5" t="s">
        <v>319</v>
      </c>
    </row>
    <row r="6" spans="1:12" ht="13.5">
      <c r="A6">
        <v>1000</v>
      </c>
      <c r="B6" t="s">
        <v>311</v>
      </c>
      <c r="C6" s="1" t="s">
        <v>203</v>
      </c>
      <c r="L6" t="s">
        <v>320</v>
      </c>
    </row>
    <row r="7" spans="1:12" ht="13.5">
      <c r="A7">
        <v>0.5</v>
      </c>
      <c r="B7" s="3" t="s">
        <v>308</v>
      </c>
      <c r="C7" s="1" t="s">
        <v>310</v>
      </c>
      <c r="L7" t="s">
        <v>321</v>
      </c>
    </row>
    <row r="8" spans="1:12" ht="13.5">
      <c r="A8">
        <v>0.05</v>
      </c>
      <c r="B8" s="1" t="s">
        <v>204</v>
      </c>
      <c r="C8" s="1" t="s">
        <v>309</v>
      </c>
      <c r="L8" t="s">
        <v>322</v>
      </c>
    </row>
    <row r="9" spans="1:12" ht="13.5">
      <c r="A9" t="s">
        <v>205</v>
      </c>
      <c r="L9" t="s">
        <v>323</v>
      </c>
    </row>
    <row r="10" spans="1:12" ht="13.5">
      <c r="A10">
        <f>H10</f>
        <v>260.8340708494928</v>
      </c>
      <c r="B10" t="s">
        <v>206</v>
      </c>
      <c r="C10" s="3" t="s">
        <v>207</v>
      </c>
      <c r="H10" s="6">
        <f>((A6+H11)^A1*A5^A2*A4*B3/A7)^(1/(1-B3))</f>
        <v>260.8340708494928</v>
      </c>
      <c r="I10" s="1" t="s">
        <v>301</v>
      </c>
      <c r="L10" t="s">
        <v>324</v>
      </c>
    </row>
    <row r="11" spans="1:12" ht="13.5">
      <c r="A11">
        <f>H11</f>
        <v>48.22713849267464</v>
      </c>
      <c r="B11" t="s">
        <v>221</v>
      </c>
      <c r="C11" s="1" t="s">
        <v>342</v>
      </c>
      <c r="H11" s="6">
        <f>IF(A6&gt;=B24,0,IF(B23&gt;=0,C27,D127))</f>
        <v>48.22713849267464</v>
      </c>
      <c r="I11" s="1" t="s">
        <v>300</v>
      </c>
      <c r="L11" t="s">
        <v>325</v>
      </c>
    </row>
    <row r="12" spans="1:12" ht="13.5">
      <c r="A12">
        <f>(1-B3)*(A4*(B3/A7)^B3*(A6+A11)^A1*A5^A2)^(1/(1-B3))-A8*A11</f>
        <v>128.00567850011265</v>
      </c>
      <c r="B12" s="6">
        <f>A4*((A6+A11)^A1)*(A10^B3)*(A5^A2)-A10*A7-A8*A11</f>
        <v>128.00567850011265</v>
      </c>
      <c r="C12" s="1" t="s">
        <v>299</v>
      </c>
      <c r="L12" t="s">
        <v>326</v>
      </c>
    </row>
    <row r="13" ht="13.5">
      <c r="L13" t="s">
        <v>327</v>
      </c>
    </row>
    <row r="14" spans="1:12" ht="13.5">
      <c r="A14" s="1" t="s">
        <v>343</v>
      </c>
      <c r="L14" t="s">
        <v>328</v>
      </c>
    </row>
    <row r="15" spans="2:12" ht="13.5">
      <c r="B15">
        <f>(A6^A1*A5^A2*A4*B3/A7)^(1/(1-B3))</f>
        <v>251.18864315095806</v>
      </c>
      <c r="C15" t="s">
        <v>208</v>
      </c>
      <c r="L15" t="s">
        <v>329</v>
      </c>
    </row>
    <row r="16" spans="1:12" ht="13.5">
      <c r="A16">
        <f>(1-B3)*(A4*(B3/A7)^B3*A6^A1*A5^A2)^(1/(1-B3))</f>
        <v>125.59432157547903</v>
      </c>
      <c r="B16" s="6">
        <f>A4*A6^A1*A5^A2*B15^B3-B15*A7</f>
        <v>125.59432157547903</v>
      </c>
      <c r="C16" s="1" t="s">
        <v>312</v>
      </c>
      <c r="L16" t="s">
        <v>330</v>
      </c>
    </row>
    <row r="17" spans="1:12" ht="13.5">
      <c r="A17" s="1" t="s">
        <v>313</v>
      </c>
      <c r="L17" t="s">
        <v>331</v>
      </c>
    </row>
    <row r="18" spans="2:12" ht="13.5">
      <c r="B18">
        <f>B16+A11*A8</f>
        <v>128.00567850011277</v>
      </c>
      <c r="C18" s="1" t="s">
        <v>314</v>
      </c>
      <c r="D18" s="1"/>
      <c r="L18" t="s">
        <v>307</v>
      </c>
    </row>
    <row r="19" spans="2:12" ht="13.5">
      <c r="B19">
        <f>B12-B18</f>
        <v>0</v>
      </c>
      <c r="C19" s="1" t="s">
        <v>315</v>
      </c>
      <c r="L19" s="1" t="s">
        <v>338</v>
      </c>
    </row>
    <row r="20" spans="1:12" ht="13.5">
      <c r="A20" s="1" t="s">
        <v>335</v>
      </c>
      <c r="B20" s="1"/>
      <c r="C20" s="1"/>
      <c r="L20" t="s">
        <v>332</v>
      </c>
    </row>
    <row r="21" spans="1:12" ht="13.5">
      <c r="A21" s="1"/>
      <c r="B21" s="1"/>
      <c r="C21" s="1"/>
      <c r="L21" t="s">
        <v>333</v>
      </c>
    </row>
    <row r="22" spans="1:12" ht="13.5">
      <c r="A22" s="6"/>
      <c r="B22" s="6">
        <f>A4^(1/A2)*(A1/A8)^((1-B3)/A2)*(B3/A7)^(B3/A2)*A5</f>
        <v>32768</v>
      </c>
      <c r="C22" s="1" t="s">
        <v>344</v>
      </c>
      <c r="L22" t="s">
        <v>334</v>
      </c>
    </row>
    <row r="23" spans="2:12" ht="13.5">
      <c r="B23" s="6">
        <f>(1-B3)*(A4*(B3/A7)^B3*(B22)^A1*A5^A2)^(1/(1-B3))-2*A8*(B22-A6)-B16</f>
        <v>-1254.3943215754805</v>
      </c>
      <c r="C23" s="1" t="s">
        <v>316</v>
      </c>
      <c r="L23" s="1" t="s">
        <v>339</v>
      </c>
    </row>
    <row r="24" spans="2:12" ht="13.5">
      <c r="B24" s="6">
        <f>A4^(1/A2)*(0.5*A1/A8)^((1-B3)/A2)*(B3/A7)^(B3/A2)*A5</f>
        <v>1024</v>
      </c>
      <c r="C24" s="1" t="s">
        <v>317</v>
      </c>
      <c r="L24" t="s">
        <v>337</v>
      </c>
    </row>
    <row r="25" spans="1:4" ht="13.5">
      <c r="A25" t="s">
        <v>306</v>
      </c>
      <c r="D25" s="1"/>
    </row>
    <row r="26" spans="2:11" ht="13.5">
      <c r="B26" s="1" t="s">
        <v>302</v>
      </c>
      <c r="C26" s="1" t="s">
        <v>303</v>
      </c>
      <c r="D26" s="1" t="s">
        <v>304</v>
      </c>
      <c r="E26" s="1" t="s">
        <v>318</v>
      </c>
      <c r="K26" s="1"/>
    </row>
    <row r="27" spans="2:5" ht="13.5">
      <c r="B27" s="24">
        <v>0</v>
      </c>
      <c r="C27" s="24">
        <f>B22-A6</f>
        <v>31768</v>
      </c>
      <c r="D27">
        <f>AVERAGE(B27:C27)</f>
        <v>15884</v>
      </c>
      <c r="E27" s="6">
        <f>(1-$B$3)*($A$4*($B$3/$A$7)^$B$3*($A$6+D27)^$A$1*$A$5^$A$2)^(1/(1-$B$3))-2*$A$8*D27-$B$16</f>
        <v>-509.0963337173556</v>
      </c>
    </row>
    <row r="28" spans="2:5" ht="13.5">
      <c r="B28">
        <f>IF(E27&gt;=0,D27,B27)</f>
        <v>0</v>
      </c>
      <c r="C28">
        <f>IF(E27&gt;=0,C27,D27)</f>
        <v>15884</v>
      </c>
      <c r="D28">
        <f>AVERAGE(B28:C28)</f>
        <v>7942</v>
      </c>
      <c r="E28" s="6">
        <f aca="true" t="shared" si="0" ref="E28:E91">(1-$B$3)*($A$4*($B$3/$A$7)^$B$3*($A$6+D28)^$A$1*$A$5^$A$2)^(1/(1-$B$3))-2*$A$8*D28-$B$16</f>
        <v>-195.1619410762572</v>
      </c>
    </row>
    <row r="29" spans="2:5" ht="13.5">
      <c r="B29">
        <f aca="true" t="shared" si="1" ref="B29:B92">IF(E28&gt;=0,D28,B28)</f>
        <v>0</v>
      </c>
      <c r="C29">
        <f aca="true" t="shared" si="2" ref="C29:C92">IF(E28&gt;=0,C28,D28)</f>
        <v>7942</v>
      </c>
      <c r="D29">
        <f aca="true" t="shared" si="3" ref="D29:D92">AVERAGE(B29:C29)</f>
        <v>3971</v>
      </c>
      <c r="E29" s="6">
        <f t="shared" si="0"/>
        <v>-69.666353020875</v>
      </c>
    </row>
    <row r="30" spans="2:5" ht="13.5">
      <c r="B30">
        <f t="shared" si="1"/>
        <v>0</v>
      </c>
      <c r="C30">
        <f t="shared" si="2"/>
        <v>3971</v>
      </c>
      <c r="D30">
        <f t="shared" si="3"/>
        <v>1985.5</v>
      </c>
      <c r="E30" s="6">
        <f t="shared" si="0"/>
        <v>-22.855051854451773</v>
      </c>
    </row>
    <row r="31" spans="2:5" ht="13.5">
      <c r="B31">
        <f t="shared" si="1"/>
        <v>0</v>
      </c>
      <c r="C31">
        <f t="shared" si="2"/>
        <v>1985.5</v>
      </c>
      <c r="D31">
        <f t="shared" si="3"/>
        <v>992.75</v>
      </c>
      <c r="E31" s="6">
        <f t="shared" si="0"/>
        <v>-6.831287003077705</v>
      </c>
    </row>
    <row r="32" spans="2:5" ht="13.5">
      <c r="B32">
        <f t="shared" si="1"/>
        <v>0</v>
      </c>
      <c r="C32">
        <f t="shared" si="2"/>
        <v>992.75</v>
      </c>
      <c r="D32">
        <f t="shared" si="3"/>
        <v>496.375</v>
      </c>
      <c r="E32" s="6">
        <f t="shared" si="0"/>
        <v>-1.8504798766499135</v>
      </c>
    </row>
    <row r="33" spans="2:13" ht="13.5">
      <c r="B33">
        <f t="shared" si="1"/>
        <v>0</v>
      </c>
      <c r="C33">
        <f t="shared" si="2"/>
        <v>496.375</v>
      </c>
      <c r="D33">
        <f t="shared" si="3"/>
        <v>248.1875</v>
      </c>
      <c r="E33" s="6">
        <f t="shared" si="0"/>
        <v>-0.4467056390274138</v>
      </c>
      <c r="H33" s="7" t="s">
        <v>202</v>
      </c>
      <c r="I33" s="25" t="s">
        <v>206</v>
      </c>
      <c r="J33" s="25" t="s">
        <v>7</v>
      </c>
      <c r="K33" s="25" t="s">
        <v>305</v>
      </c>
      <c r="L33" s="7" t="s">
        <v>174</v>
      </c>
      <c r="M33" s="25" t="s">
        <v>209</v>
      </c>
    </row>
    <row r="34" spans="2:13" ht="13.5">
      <c r="B34">
        <f t="shared" si="1"/>
        <v>0</v>
      </c>
      <c r="C34">
        <f t="shared" si="2"/>
        <v>248.1875</v>
      </c>
      <c r="D34">
        <f t="shared" si="3"/>
        <v>124.09375</v>
      </c>
      <c r="E34" s="6">
        <f t="shared" si="0"/>
        <v>-0.08852919607274146</v>
      </c>
      <c r="H34" s="11" t="s">
        <v>340</v>
      </c>
      <c r="I34">
        <f>A10</f>
        <v>260.8340708494928</v>
      </c>
      <c r="J34">
        <f>A11</f>
        <v>48.22713849267464</v>
      </c>
      <c r="K34">
        <f>J34+A6</f>
        <v>1048.2271384926746</v>
      </c>
      <c r="L34">
        <f>B12</f>
        <v>128.00567850011265</v>
      </c>
      <c r="M34">
        <f>B16</f>
        <v>125.59432157547903</v>
      </c>
    </row>
    <row r="35" spans="2:13" ht="13.5">
      <c r="B35">
        <f t="shared" si="1"/>
        <v>0</v>
      </c>
      <c r="C35">
        <f t="shared" si="2"/>
        <v>124.09375</v>
      </c>
      <c r="D35">
        <f t="shared" si="3"/>
        <v>62.046875</v>
      </c>
      <c r="E35" s="6">
        <f t="shared" si="0"/>
        <v>-0.008252047694639941</v>
      </c>
      <c r="H35">
        <v>0</v>
      </c>
      <c r="I35" s="12"/>
      <c r="J35" s="9"/>
      <c r="K35" s="9"/>
      <c r="L35" s="9"/>
      <c r="M35" s="13"/>
    </row>
    <row r="36" spans="2:13" ht="13.5">
      <c r="B36">
        <f t="shared" si="1"/>
        <v>0</v>
      </c>
      <c r="C36">
        <f t="shared" si="2"/>
        <v>62.046875</v>
      </c>
      <c r="D36">
        <f t="shared" si="3"/>
        <v>31.0234375</v>
      </c>
      <c r="E36" s="6">
        <f t="shared" si="0"/>
        <v>0.005198015850069737</v>
      </c>
      <c r="H36">
        <v>100</v>
      </c>
      <c r="I36" s="14"/>
      <c r="J36" s="15"/>
      <c r="K36" s="15"/>
      <c r="L36" s="15"/>
      <c r="M36" s="16"/>
    </row>
    <row r="37" spans="2:13" ht="13.5">
      <c r="B37">
        <f t="shared" si="1"/>
        <v>31.0234375</v>
      </c>
      <c r="C37">
        <f t="shared" si="2"/>
        <v>62.046875</v>
      </c>
      <c r="D37">
        <f t="shared" si="3"/>
        <v>46.53515625</v>
      </c>
      <c r="E37" s="6">
        <f t="shared" si="0"/>
        <v>0.0007622499823156659</v>
      </c>
      <c r="H37">
        <v>200</v>
      </c>
      <c r="I37" s="14"/>
      <c r="J37" s="15"/>
      <c r="K37" s="15"/>
      <c r="L37" s="15"/>
      <c r="M37" s="16"/>
    </row>
    <row r="38" spans="2:13" ht="13.5">
      <c r="B38">
        <f t="shared" si="1"/>
        <v>46.53515625</v>
      </c>
      <c r="C38">
        <f t="shared" si="2"/>
        <v>62.046875</v>
      </c>
      <c r="D38">
        <f t="shared" si="3"/>
        <v>54.291015625</v>
      </c>
      <c r="E38" s="6">
        <f t="shared" si="0"/>
        <v>-0.0031776515951378315</v>
      </c>
      <c r="H38">
        <v>300</v>
      </c>
      <c r="I38" s="14"/>
      <c r="J38" s="15"/>
      <c r="K38" s="15"/>
      <c r="L38" s="15"/>
      <c r="M38" s="16"/>
    </row>
    <row r="39" spans="2:13" ht="13.5">
      <c r="B39">
        <f t="shared" si="1"/>
        <v>46.53515625</v>
      </c>
      <c r="C39">
        <f t="shared" si="2"/>
        <v>54.291015625</v>
      </c>
      <c r="D39">
        <f t="shared" si="3"/>
        <v>50.4130859375</v>
      </c>
      <c r="E39" s="6">
        <f t="shared" si="0"/>
        <v>-0.0010652617769011385</v>
      </c>
      <c r="H39">
        <v>400</v>
      </c>
      <c r="I39" s="14"/>
      <c r="J39" s="15"/>
      <c r="K39" s="15"/>
      <c r="L39" s="15"/>
      <c r="M39" s="16"/>
    </row>
    <row r="40" spans="2:13" ht="13.5">
      <c r="B40">
        <f t="shared" si="1"/>
        <v>46.53515625</v>
      </c>
      <c r="C40">
        <f t="shared" si="2"/>
        <v>50.4130859375</v>
      </c>
      <c r="D40">
        <f t="shared" si="3"/>
        <v>48.47412109375</v>
      </c>
      <c r="E40" s="6">
        <f t="shared" si="0"/>
        <v>-0.00011581718086972614</v>
      </c>
      <c r="H40">
        <v>500</v>
      </c>
      <c r="I40" s="14"/>
      <c r="J40" s="15"/>
      <c r="K40" s="15"/>
      <c r="L40" s="15"/>
      <c r="M40" s="16"/>
    </row>
    <row r="41" spans="2:13" ht="13.5">
      <c r="B41">
        <f t="shared" si="1"/>
        <v>46.53515625</v>
      </c>
      <c r="C41">
        <f t="shared" si="2"/>
        <v>48.47412109375</v>
      </c>
      <c r="D41">
        <f t="shared" si="3"/>
        <v>47.504638671875</v>
      </c>
      <c r="E41" s="6">
        <f t="shared" si="0"/>
        <v>0.00033214848482998605</v>
      </c>
      <c r="H41">
        <v>600</v>
      </c>
      <c r="I41" s="14"/>
      <c r="J41" s="15"/>
      <c r="K41" s="15"/>
      <c r="L41" s="15"/>
      <c r="M41" s="16"/>
    </row>
    <row r="42" spans="2:13" ht="13.5">
      <c r="B42">
        <f t="shared" si="1"/>
        <v>47.504638671875</v>
      </c>
      <c r="C42">
        <f t="shared" si="2"/>
        <v>48.47412109375</v>
      </c>
      <c r="D42">
        <f t="shared" si="3"/>
        <v>47.9893798828125</v>
      </c>
      <c r="E42" s="6">
        <f t="shared" si="0"/>
        <v>0.00011039743340290897</v>
      </c>
      <c r="H42">
        <v>700</v>
      </c>
      <c r="I42" s="14"/>
      <c r="J42" s="15"/>
      <c r="K42" s="15"/>
      <c r="L42" s="15"/>
      <c r="M42" s="16"/>
    </row>
    <row r="43" spans="2:13" ht="13.5">
      <c r="B43">
        <f t="shared" si="1"/>
        <v>47.9893798828125</v>
      </c>
      <c r="C43">
        <f t="shared" si="2"/>
        <v>48.47412109375</v>
      </c>
      <c r="D43">
        <f t="shared" si="3"/>
        <v>48.23175048828125</v>
      </c>
      <c r="E43" s="6">
        <f t="shared" si="0"/>
        <v>-2.1520831410271057E-06</v>
      </c>
      <c r="H43">
        <v>800</v>
      </c>
      <c r="I43" s="14"/>
      <c r="J43" s="15"/>
      <c r="K43" s="15"/>
      <c r="L43" s="15"/>
      <c r="M43" s="16"/>
    </row>
    <row r="44" spans="2:13" ht="13.5">
      <c r="B44">
        <f t="shared" si="1"/>
        <v>47.9893798828125</v>
      </c>
      <c r="C44">
        <f t="shared" si="2"/>
        <v>48.23175048828125</v>
      </c>
      <c r="D44">
        <f t="shared" si="3"/>
        <v>48.110565185546875</v>
      </c>
      <c r="E44" s="6">
        <f t="shared" si="0"/>
        <v>5.4262142100469646E-05</v>
      </c>
      <c r="H44">
        <v>900</v>
      </c>
      <c r="I44" s="14"/>
      <c r="J44" s="15"/>
      <c r="K44" s="15"/>
      <c r="L44" s="15"/>
      <c r="M44" s="16"/>
    </row>
    <row r="45" spans="2:13" ht="13.5">
      <c r="B45">
        <f t="shared" si="1"/>
        <v>48.110565185546875</v>
      </c>
      <c r="C45">
        <f t="shared" si="2"/>
        <v>48.23175048828125</v>
      </c>
      <c r="D45">
        <f t="shared" si="3"/>
        <v>48.17115783691406</v>
      </c>
      <c r="E45" s="6">
        <f t="shared" si="0"/>
        <v>2.608989373698023E-05</v>
      </c>
      <c r="H45">
        <v>1024</v>
      </c>
      <c r="I45" s="14"/>
      <c r="J45" s="15"/>
      <c r="K45" s="15"/>
      <c r="L45" s="15"/>
      <c r="M45" s="16"/>
    </row>
    <row r="46" spans="2:13" ht="13.5">
      <c r="B46">
        <f t="shared" si="1"/>
        <v>48.17115783691406</v>
      </c>
      <c r="C46">
        <f t="shared" si="2"/>
        <v>48.23175048828125</v>
      </c>
      <c r="D46">
        <f t="shared" si="3"/>
        <v>48.201454162597656</v>
      </c>
      <c r="E46" s="6">
        <f t="shared" si="0"/>
        <v>1.1977620957281943E-05</v>
      </c>
      <c r="H46">
        <v>1100</v>
      </c>
      <c r="I46" s="14"/>
      <c r="J46" s="15"/>
      <c r="K46" s="15"/>
      <c r="L46" s="15"/>
      <c r="M46" s="16"/>
    </row>
    <row r="47" spans="2:13" ht="13.5">
      <c r="B47">
        <f t="shared" si="1"/>
        <v>48.201454162597656</v>
      </c>
      <c r="C47">
        <f t="shared" si="2"/>
        <v>48.23175048828125</v>
      </c>
      <c r="D47">
        <f t="shared" si="3"/>
        <v>48.21660232543945</v>
      </c>
      <c r="E47" s="6">
        <f t="shared" si="0"/>
        <v>4.914947808742909E-06</v>
      </c>
      <c r="H47">
        <v>1200</v>
      </c>
      <c r="I47" s="14"/>
      <c r="J47" s="15"/>
      <c r="K47" s="15"/>
      <c r="L47" s="15"/>
      <c r="M47" s="16"/>
    </row>
    <row r="48" spans="2:13" ht="13.5">
      <c r="B48">
        <f t="shared" si="1"/>
        <v>48.21660232543945</v>
      </c>
      <c r="C48">
        <f t="shared" si="2"/>
        <v>48.23175048828125</v>
      </c>
      <c r="D48">
        <f t="shared" si="3"/>
        <v>48.22417640686035</v>
      </c>
      <c r="E48" s="6">
        <f t="shared" si="0"/>
        <v>1.3819770856571267E-06</v>
      </c>
      <c r="H48">
        <v>1400</v>
      </c>
      <c r="I48" s="14"/>
      <c r="J48" s="15"/>
      <c r="K48" s="15"/>
      <c r="L48" s="15"/>
      <c r="M48" s="16"/>
    </row>
    <row r="49" spans="2:13" ht="13.5">
      <c r="B49">
        <f t="shared" si="1"/>
        <v>48.22417640686035</v>
      </c>
      <c r="C49">
        <f t="shared" si="2"/>
        <v>48.23175048828125</v>
      </c>
      <c r="D49">
        <f t="shared" si="3"/>
        <v>48.2279634475708</v>
      </c>
      <c r="E49" s="6">
        <f t="shared" si="0"/>
        <v>-3.849169161185273E-07</v>
      </c>
      <c r="H49">
        <v>1600</v>
      </c>
      <c r="I49" s="14"/>
      <c r="J49" s="15"/>
      <c r="K49" s="15"/>
      <c r="L49" s="15"/>
      <c r="M49" s="16"/>
    </row>
    <row r="50" spans="2:13" ht="13.5">
      <c r="B50">
        <f t="shared" si="1"/>
        <v>48.22417640686035</v>
      </c>
      <c r="C50">
        <f t="shared" si="2"/>
        <v>48.2279634475708</v>
      </c>
      <c r="D50">
        <f t="shared" si="3"/>
        <v>48.226069927215576</v>
      </c>
      <c r="E50" s="6">
        <f t="shared" si="0"/>
        <v>4.985641197663426E-07</v>
      </c>
      <c r="H50">
        <v>1800</v>
      </c>
      <c r="I50" s="14"/>
      <c r="J50" s="15"/>
      <c r="K50" s="15"/>
      <c r="L50" s="15"/>
      <c r="M50" s="16"/>
    </row>
    <row r="51" spans="2:13" ht="13.5">
      <c r="B51">
        <f t="shared" si="1"/>
        <v>48.226069927215576</v>
      </c>
      <c r="C51">
        <f t="shared" si="2"/>
        <v>48.2279634475708</v>
      </c>
      <c r="D51">
        <f t="shared" si="3"/>
        <v>48.22701668739319</v>
      </c>
      <c r="E51" s="6">
        <f t="shared" si="0"/>
        <v>5.6832107020454714E-08</v>
      </c>
      <c r="H51">
        <v>2000</v>
      </c>
      <c r="I51" s="14"/>
      <c r="J51" s="15"/>
      <c r="K51" s="15"/>
      <c r="L51" s="15"/>
      <c r="M51" s="16"/>
    </row>
    <row r="52" spans="2:13" ht="13.5">
      <c r="B52">
        <f t="shared" si="1"/>
        <v>48.22701668739319</v>
      </c>
      <c r="C52">
        <f t="shared" si="2"/>
        <v>48.2279634475708</v>
      </c>
      <c r="D52">
        <f t="shared" si="3"/>
        <v>48.227490067481995</v>
      </c>
      <c r="E52" s="6">
        <f t="shared" si="0"/>
        <v>-1.6404020186655544E-07</v>
      </c>
      <c r="H52">
        <v>2300</v>
      </c>
      <c r="I52" s="14"/>
      <c r="J52" s="15"/>
      <c r="K52" s="15"/>
      <c r="L52" s="15"/>
      <c r="M52" s="16"/>
    </row>
    <row r="53" spans="2:13" ht="13.5">
      <c r="B53">
        <f t="shared" si="1"/>
        <v>48.22701668739319</v>
      </c>
      <c r="C53">
        <f t="shared" si="2"/>
        <v>48.227490067481995</v>
      </c>
      <c r="D53">
        <f t="shared" si="3"/>
        <v>48.22725337743759</v>
      </c>
      <c r="E53" s="6">
        <f t="shared" si="0"/>
        <v>-5.3603585570272116E-08</v>
      </c>
      <c r="H53">
        <v>2600</v>
      </c>
      <c r="I53" s="14"/>
      <c r="J53" s="15"/>
      <c r="K53" s="15"/>
      <c r="L53" s="15"/>
      <c r="M53" s="16"/>
    </row>
    <row r="54" spans="2:13" ht="13.5">
      <c r="B54">
        <f t="shared" si="1"/>
        <v>48.22701668739319</v>
      </c>
      <c r="C54">
        <f t="shared" si="2"/>
        <v>48.22725337743759</v>
      </c>
      <c r="D54">
        <f t="shared" si="3"/>
        <v>48.22713503241539</v>
      </c>
      <c r="E54" s="6">
        <f t="shared" si="0"/>
        <v>1.6144099390658084E-09</v>
      </c>
      <c r="H54">
        <v>2900</v>
      </c>
      <c r="I54" s="14"/>
      <c r="J54" s="15"/>
      <c r="K54" s="15"/>
      <c r="L54" s="15"/>
      <c r="M54" s="16"/>
    </row>
    <row r="55" spans="2:13" ht="13.5">
      <c r="B55">
        <f t="shared" si="1"/>
        <v>48.22713503241539</v>
      </c>
      <c r="C55">
        <f t="shared" si="2"/>
        <v>48.22725337743759</v>
      </c>
      <c r="D55">
        <f t="shared" si="3"/>
        <v>48.22719420492649</v>
      </c>
      <c r="E55" s="6">
        <f t="shared" si="0"/>
        <v>-2.599453807761165E-08</v>
      </c>
      <c r="H55">
        <v>3200</v>
      </c>
      <c r="I55" s="17"/>
      <c r="J55" s="18"/>
      <c r="K55" s="18"/>
      <c r="L55" s="18"/>
      <c r="M55" s="19"/>
    </row>
    <row r="56" spans="2:5" ht="13.5">
      <c r="B56">
        <f t="shared" si="1"/>
        <v>48.22713503241539</v>
      </c>
      <c r="C56">
        <f t="shared" si="2"/>
        <v>48.22719420492649</v>
      </c>
      <c r="D56">
        <f t="shared" si="3"/>
        <v>48.22716461867094</v>
      </c>
      <c r="E56" s="6">
        <f t="shared" si="0"/>
        <v>-1.219015643982857E-08</v>
      </c>
    </row>
    <row r="57" spans="2:5" ht="13.5">
      <c r="B57">
        <f t="shared" si="1"/>
        <v>48.22713503241539</v>
      </c>
      <c r="C57">
        <f t="shared" si="2"/>
        <v>48.22716461867094</v>
      </c>
      <c r="D57">
        <f t="shared" si="3"/>
        <v>48.227149825543165</v>
      </c>
      <c r="E57" s="6">
        <f t="shared" si="0"/>
        <v>-5.287830617817235E-09</v>
      </c>
    </row>
    <row r="58" spans="2:5" ht="13.5">
      <c r="B58">
        <f t="shared" si="1"/>
        <v>48.22713503241539</v>
      </c>
      <c r="C58">
        <f t="shared" si="2"/>
        <v>48.227149825543165</v>
      </c>
      <c r="D58">
        <f t="shared" si="3"/>
        <v>48.22714242897928</v>
      </c>
      <c r="E58" s="6">
        <f t="shared" si="0"/>
        <v>-1.8367671827945742E-09</v>
      </c>
    </row>
    <row r="59" spans="2:5" ht="13.5">
      <c r="B59">
        <f t="shared" si="1"/>
        <v>48.22713503241539</v>
      </c>
      <c r="C59">
        <f t="shared" si="2"/>
        <v>48.22714242897928</v>
      </c>
      <c r="D59">
        <f t="shared" si="3"/>
        <v>48.227138730697334</v>
      </c>
      <c r="E59" s="6">
        <f t="shared" si="0"/>
        <v>-1.1117151643702528E-10</v>
      </c>
    </row>
    <row r="60" spans="2:5" ht="13.5">
      <c r="B60">
        <f t="shared" si="1"/>
        <v>48.22713503241539</v>
      </c>
      <c r="C60">
        <f t="shared" si="2"/>
        <v>48.227138730697334</v>
      </c>
      <c r="D60">
        <f t="shared" si="3"/>
        <v>48.22713688155636</v>
      </c>
      <c r="E60" s="6">
        <f t="shared" si="0"/>
        <v>7.517257927247556E-10</v>
      </c>
    </row>
    <row r="61" spans="2:5" ht="13.5">
      <c r="B61">
        <f t="shared" si="1"/>
        <v>48.22713688155636</v>
      </c>
      <c r="C61">
        <f t="shared" si="2"/>
        <v>48.227138730697334</v>
      </c>
      <c r="D61">
        <f t="shared" si="3"/>
        <v>48.22713780612685</v>
      </c>
      <c r="E61" s="6">
        <f t="shared" si="0"/>
        <v>3.2024161100707715E-10</v>
      </c>
    </row>
    <row r="62" spans="2:5" ht="13.5">
      <c r="B62">
        <f t="shared" si="1"/>
        <v>48.22713780612685</v>
      </c>
      <c r="C62">
        <f t="shared" si="2"/>
        <v>48.227138730697334</v>
      </c>
      <c r="D62">
        <f t="shared" si="3"/>
        <v>48.22713826841209</v>
      </c>
      <c r="E62" s="6">
        <f t="shared" si="0"/>
        <v>1.0453504728502594E-10</v>
      </c>
    </row>
    <row r="63" spans="2:5" ht="13.5">
      <c r="B63">
        <f t="shared" si="1"/>
        <v>48.22713826841209</v>
      </c>
      <c r="C63">
        <f t="shared" si="2"/>
        <v>48.227138730697334</v>
      </c>
      <c r="D63">
        <f t="shared" si="3"/>
        <v>48.22713849955471</v>
      </c>
      <c r="E63" s="6">
        <f t="shared" si="0"/>
        <v>-3.325340003357269E-12</v>
      </c>
    </row>
    <row r="64" spans="2:5" ht="13.5">
      <c r="B64">
        <f t="shared" si="1"/>
        <v>48.22713826841209</v>
      </c>
      <c r="C64">
        <f t="shared" si="2"/>
        <v>48.22713849955471</v>
      </c>
      <c r="D64">
        <f t="shared" si="3"/>
        <v>48.2271383839834</v>
      </c>
      <c r="E64" s="6">
        <f t="shared" si="0"/>
        <v>5.063327535026474E-11</v>
      </c>
    </row>
    <row r="65" spans="2:5" ht="13.5">
      <c r="B65">
        <f t="shared" si="1"/>
        <v>48.2271383839834</v>
      </c>
      <c r="C65">
        <f t="shared" si="2"/>
        <v>48.22713849955471</v>
      </c>
      <c r="D65">
        <f t="shared" si="3"/>
        <v>48.22713844176906</v>
      </c>
      <c r="E65" s="6">
        <f t="shared" si="0"/>
        <v>2.3661073100811336E-11</v>
      </c>
    </row>
    <row r="66" spans="2:5" ht="13.5">
      <c r="B66">
        <f t="shared" si="1"/>
        <v>48.22713844176906</v>
      </c>
      <c r="C66">
        <f t="shared" si="2"/>
        <v>48.22713849955471</v>
      </c>
      <c r="D66">
        <f t="shared" si="3"/>
        <v>48.227138470661885</v>
      </c>
      <c r="E66" s="6">
        <f t="shared" si="0"/>
        <v>1.0203393685515039E-11</v>
      </c>
    </row>
    <row r="67" spans="2:5" ht="13.5">
      <c r="B67">
        <f t="shared" si="1"/>
        <v>48.227138470661885</v>
      </c>
      <c r="C67">
        <f t="shared" si="2"/>
        <v>48.22713849955471</v>
      </c>
      <c r="D67">
        <f t="shared" si="3"/>
        <v>48.2271384851083</v>
      </c>
      <c r="E67" s="6">
        <f t="shared" si="0"/>
        <v>3.495870259939693E-12</v>
      </c>
    </row>
    <row r="68" spans="2:5" ht="13.5">
      <c r="B68">
        <f t="shared" si="1"/>
        <v>48.2271384851083</v>
      </c>
      <c r="C68">
        <f t="shared" si="2"/>
        <v>48.22713849955471</v>
      </c>
      <c r="D68">
        <f t="shared" si="3"/>
        <v>48.227138492331505</v>
      </c>
      <c r="E68" s="6">
        <f t="shared" si="0"/>
        <v>0</v>
      </c>
    </row>
    <row r="69" spans="2:5" ht="13.5">
      <c r="B69">
        <f t="shared" si="1"/>
        <v>48.227138492331505</v>
      </c>
      <c r="C69">
        <f t="shared" si="2"/>
        <v>48.22713849955471</v>
      </c>
      <c r="D69">
        <f t="shared" si="3"/>
        <v>48.22713849594311</v>
      </c>
      <c r="E69" s="6">
        <f t="shared" si="0"/>
        <v>-1.6910917111090384E-12</v>
      </c>
    </row>
    <row r="70" spans="2:5" ht="13.5">
      <c r="B70">
        <f t="shared" si="1"/>
        <v>48.227138492331505</v>
      </c>
      <c r="C70">
        <f t="shared" si="2"/>
        <v>48.22713849594311</v>
      </c>
      <c r="D70">
        <f t="shared" si="3"/>
        <v>48.22713849413731</v>
      </c>
      <c r="E70" s="6">
        <f t="shared" si="0"/>
        <v>-7.673861546209082E-13</v>
      </c>
    </row>
    <row r="71" spans="2:5" ht="13.5">
      <c r="B71">
        <f t="shared" si="1"/>
        <v>48.227138492331505</v>
      </c>
      <c r="C71">
        <f t="shared" si="2"/>
        <v>48.22713849413731</v>
      </c>
      <c r="D71">
        <f t="shared" si="3"/>
        <v>48.227138493234406</v>
      </c>
      <c r="E71" s="6">
        <f t="shared" si="0"/>
        <v>-3.694822225952521E-13</v>
      </c>
    </row>
    <row r="72" spans="2:5" ht="13.5">
      <c r="B72">
        <f t="shared" si="1"/>
        <v>48.227138492331505</v>
      </c>
      <c r="C72">
        <f t="shared" si="2"/>
        <v>48.227138493234406</v>
      </c>
      <c r="D72">
        <f t="shared" si="3"/>
        <v>48.227138492782956</v>
      </c>
      <c r="E72" s="6">
        <f t="shared" si="0"/>
        <v>-1.7053025658242404E-13</v>
      </c>
    </row>
    <row r="73" spans="2:5" ht="13.5">
      <c r="B73">
        <f t="shared" si="1"/>
        <v>48.227138492331505</v>
      </c>
      <c r="C73">
        <f t="shared" si="2"/>
        <v>48.227138492782956</v>
      </c>
      <c r="D73">
        <f t="shared" si="3"/>
        <v>48.22713849255723</v>
      </c>
      <c r="E73" s="6">
        <f t="shared" si="0"/>
        <v>0</v>
      </c>
    </row>
    <row r="74" spans="2:5" ht="13.5">
      <c r="B74">
        <f t="shared" si="1"/>
        <v>48.22713849255723</v>
      </c>
      <c r="C74">
        <f t="shared" si="2"/>
        <v>48.227138492782956</v>
      </c>
      <c r="D74">
        <f t="shared" si="3"/>
        <v>48.22713849267009</v>
      </c>
      <c r="E74" s="6">
        <f t="shared" si="0"/>
        <v>0</v>
      </c>
    </row>
    <row r="75" spans="2:5" ht="13.5">
      <c r="B75">
        <f t="shared" si="1"/>
        <v>48.22713849267009</v>
      </c>
      <c r="C75">
        <f t="shared" si="2"/>
        <v>48.227138492782956</v>
      </c>
      <c r="D75">
        <f t="shared" si="3"/>
        <v>48.227138492726525</v>
      </c>
      <c r="E75" s="6">
        <f t="shared" si="0"/>
        <v>-1.9895196601282805E-13</v>
      </c>
    </row>
    <row r="76" spans="2:5" ht="13.5">
      <c r="B76">
        <f t="shared" si="1"/>
        <v>48.22713849267009</v>
      </c>
      <c r="C76">
        <f t="shared" si="2"/>
        <v>48.227138492726525</v>
      </c>
      <c r="D76">
        <f t="shared" si="3"/>
        <v>48.22713849269831</v>
      </c>
      <c r="E76" s="6">
        <f t="shared" si="0"/>
        <v>-1.7053025658242404E-13</v>
      </c>
    </row>
    <row r="77" spans="2:5" ht="13.5">
      <c r="B77">
        <f t="shared" si="1"/>
        <v>48.22713849267009</v>
      </c>
      <c r="C77">
        <f t="shared" si="2"/>
        <v>48.22713849269831</v>
      </c>
      <c r="D77">
        <f t="shared" si="3"/>
        <v>48.227138492684205</v>
      </c>
      <c r="E77" s="6">
        <f t="shared" si="0"/>
        <v>-1.5631940186722204E-13</v>
      </c>
    </row>
    <row r="78" spans="2:5" ht="13.5">
      <c r="B78">
        <f t="shared" si="1"/>
        <v>48.22713849267009</v>
      </c>
      <c r="C78">
        <f t="shared" si="2"/>
        <v>48.227138492684205</v>
      </c>
      <c r="D78">
        <f t="shared" si="3"/>
        <v>48.22713849267715</v>
      </c>
      <c r="E78" s="6">
        <f t="shared" si="0"/>
        <v>-1.2789769243681803E-13</v>
      </c>
    </row>
    <row r="79" spans="2:5" ht="13.5">
      <c r="B79">
        <f t="shared" si="1"/>
        <v>48.22713849267009</v>
      </c>
      <c r="C79">
        <f t="shared" si="2"/>
        <v>48.22713849267715</v>
      </c>
      <c r="D79">
        <f t="shared" si="3"/>
        <v>48.22713849267362</v>
      </c>
      <c r="E79" s="6">
        <f t="shared" si="0"/>
        <v>0</v>
      </c>
    </row>
    <row r="80" spans="2:5" ht="13.5">
      <c r="B80">
        <f t="shared" si="1"/>
        <v>48.22713849267362</v>
      </c>
      <c r="C80">
        <f t="shared" si="2"/>
        <v>48.22713849267715</v>
      </c>
      <c r="D80">
        <f t="shared" si="3"/>
        <v>48.22713849267538</v>
      </c>
      <c r="E80" s="6">
        <f t="shared" si="0"/>
        <v>-1.8474111129762605E-13</v>
      </c>
    </row>
    <row r="81" spans="2:5" ht="13.5">
      <c r="B81">
        <f t="shared" si="1"/>
        <v>48.22713849267362</v>
      </c>
      <c r="C81">
        <f t="shared" si="2"/>
        <v>48.22713849267538</v>
      </c>
      <c r="D81">
        <f t="shared" si="3"/>
        <v>48.2271384926745</v>
      </c>
      <c r="E81" s="6">
        <f t="shared" si="0"/>
        <v>0</v>
      </c>
    </row>
    <row r="82" spans="2:5" ht="13.5">
      <c r="B82">
        <f t="shared" si="1"/>
        <v>48.2271384926745</v>
      </c>
      <c r="C82">
        <f t="shared" si="2"/>
        <v>48.22713849267538</v>
      </c>
      <c r="D82">
        <f t="shared" si="3"/>
        <v>48.22713849267494</v>
      </c>
      <c r="E82" s="6">
        <f t="shared" si="0"/>
        <v>-1.4210854715202004E-13</v>
      </c>
    </row>
    <row r="83" spans="2:5" ht="13.5">
      <c r="B83">
        <f t="shared" si="1"/>
        <v>48.2271384926745</v>
      </c>
      <c r="C83">
        <f t="shared" si="2"/>
        <v>48.22713849267494</v>
      </c>
      <c r="D83">
        <f t="shared" si="3"/>
        <v>48.22713849267472</v>
      </c>
      <c r="E83" s="6">
        <f t="shared" si="0"/>
        <v>-1.1368683772161603E-13</v>
      </c>
    </row>
    <row r="84" spans="2:5" ht="13.5">
      <c r="B84">
        <f t="shared" si="1"/>
        <v>48.2271384926745</v>
      </c>
      <c r="C84">
        <f t="shared" si="2"/>
        <v>48.22713849267472</v>
      </c>
      <c r="D84">
        <f t="shared" si="3"/>
        <v>48.22713849267461</v>
      </c>
      <c r="E84" s="6">
        <f t="shared" si="0"/>
        <v>0</v>
      </c>
    </row>
    <row r="85" spans="2:5" ht="13.5">
      <c r="B85">
        <f t="shared" si="1"/>
        <v>48.22713849267461</v>
      </c>
      <c r="C85">
        <f t="shared" si="2"/>
        <v>48.22713849267472</v>
      </c>
      <c r="D85">
        <f t="shared" si="3"/>
        <v>48.22713849267467</v>
      </c>
      <c r="E85" s="6">
        <f t="shared" si="0"/>
        <v>-1.1368683772161603E-13</v>
      </c>
    </row>
    <row r="86" spans="2:5" ht="13.5">
      <c r="B86">
        <f t="shared" si="1"/>
        <v>48.22713849267461</v>
      </c>
      <c r="C86">
        <f t="shared" si="2"/>
        <v>48.22713849267467</v>
      </c>
      <c r="D86">
        <f t="shared" si="3"/>
        <v>48.22713849267464</v>
      </c>
      <c r="E86" s="6">
        <f t="shared" si="0"/>
        <v>0</v>
      </c>
    </row>
    <row r="87" spans="2:5" ht="13.5">
      <c r="B87">
        <f t="shared" si="1"/>
        <v>48.22713849267464</v>
      </c>
      <c r="C87">
        <f t="shared" si="2"/>
        <v>48.22713849267467</v>
      </c>
      <c r="D87">
        <f t="shared" si="3"/>
        <v>48.227138492674655</v>
      </c>
      <c r="E87" s="6">
        <f t="shared" si="0"/>
        <v>-1.1368683772161603E-13</v>
      </c>
    </row>
    <row r="88" spans="2:5" ht="13.5">
      <c r="B88">
        <f t="shared" si="1"/>
        <v>48.22713849267464</v>
      </c>
      <c r="C88">
        <f t="shared" si="2"/>
        <v>48.227138492674655</v>
      </c>
      <c r="D88">
        <f t="shared" si="3"/>
        <v>48.22713849267465</v>
      </c>
      <c r="E88" s="6">
        <f t="shared" si="0"/>
        <v>-1.1368683772161603E-13</v>
      </c>
    </row>
    <row r="89" spans="2:5" ht="13.5">
      <c r="B89">
        <f t="shared" si="1"/>
        <v>48.22713849267464</v>
      </c>
      <c r="C89">
        <f t="shared" si="2"/>
        <v>48.22713849267465</v>
      </c>
      <c r="D89">
        <f t="shared" si="3"/>
        <v>48.22713849267464</v>
      </c>
      <c r="E89" s="6">
        <f t="shared" si="0"/>
        <v>0</v>
      </c>
    </row>
    <row r="90" spans="2:5" ht="13.5">
      <c r="B90">
        <f t="shared" si="1"/>
        <v>48.22713849267464</v>
      </c>
      <c r="C90">
        <f t="shared" si="2"/>
        <v>48.22713849267465</v>
      </c>
      <c r="D90">
        <f t="shared" si="3"/>
        <v>48.22713849267464</v>
      </c>
      <c r="E90" s="6">
        <f t="shared" si="0"/>
        <v>0</v>
      </c>
    </row>
    <row r="91" spans="2:5" ht="13.5">
      <c r="B91">
        <f t="shared" si="1"/>
        <v>48.22713849267464</v>
      </c>
      <c r="C91">
        <f t="shared" si="2"/>
        <v>48.22713849267465</v>
      </c>
      <c r="D91">
        <f t="shared" si="3"/>
        <v>48.22713849267464</v>
      </c>
      <c r="E91" s="6">
        <f t="shared" si="0"/>
        <v>0</v>
      </c>
    </row>
    <row r="92" spans="2:5" ht="13.5">
      <c r="B92">
        <f t="shared" si="1"/>
        <v>48.22713849267464</v>
      </c>
      <c r="C92">
        <f t="shared" si="2"/>
        <v>48.22713849267465</v>
      </c>
      <c r="D92">
        <f t="shared" si="3"/>
        <v>48.22713849267464</v>
      </c>
      <c r="E92" s="6">
        <f aca="true" t="shared" si="4" ref="E92:E127">(1-$B$3)*($A$4*($B$3/$A$7)^$B$3*($A$6+D92)^$A$1*$A$5^$A$2)^(1/(1-$B$3))-2*$A$8*D92-$B$16</f>
        <v>0</v>
      </c>
    </row>
    <row r="93" spans="2:5" ht="13.5">
      <c r="B93">
        <f aca="true" t="shared" si="5" ref="B93:B127">IF(E92&gt;=0,D92,B92)</f>
        <v>48.22713849267464</v>
      </c>
      <c r="C93">
        <f aca="true" t="shared" si="6" ref="C93:C127">IF(E92&gt;=0,C92,D92)</f>
        <v>48.22713849267465</v>
      </c>
      <c r="D93">
        <f aca="true" t="shared" si="7" ref="D93:D127">AVERAGE(B93:C93)</f>
        <v>48.22713849267464</v>
      </c>
      <c r="E93" s="6">
        <f t="shared" si="4"/>
        <v>0</v>
      </c>
    </row>
    <row r="94" spans="2:5" ht="13.5">
      <c r="B94">
        <f t="shared" si="5"/>
        <v>48.22713849267464</v>
      </c>
      <c r="C94">
        <f t="shared" si="6"/>
        <v>48.22713849267465</v>
      </c>
      <c r="D94">
        <f t="shared" si="7"/>
        <v>48.22713849267464</v>
      </c>
      <c r="E94" s="6">
        <f t="shared" si="4"/>
        <v>0</v>
      </c>
    </row>
    <row r="95" spans="2:5" ht="13.5">
      <c r="B95">
        <f t="shared" si="5"/>
        <v>48.22713849267464</v>
      </c>
      <c r="C95">
        <f t="shared" si="6"/>
        <v>48.22713849267465</v>
      </c>
      <c r="D95">
        <f t="shared" si="7"/>
        <v>48.22713849267464</v>
      </c>
      <c r="E95" s="6">
        <f t="shared" si="4"/>
        <v>0</v>
      </c>
    </row>
    <row r="96" spans="2:5" ht="13.5">
      <c r="B96">
        <f t="shared" si="5"/>
        <v>48.22713849267464</v>
      </c>
      <c r="C96">
        <f t="shared" si="6"/>
        <v>48.22713849267465</v>
      </c>
      <c r="D96">
        <f t="shared" si="7"/>
        <v>48.22713849267464</v>
      </c>
      <c r="E96" s="6">
        <f t="shared" si="4"/>
        <v>0</v>
      </c>
    </row>
    <row r="97" spans="2:5" ht="13.5">
      <c r="B97">
        <f t="shared" si="5"/>
        <v>48.22713849267464</v>
      </c>
      <c r="C97">
        <f t="shared" si="6"/>
        <v>48.22713849267465</v>
      </c>
      <c r="D97">
        <f t="shared" si="7"/>
        <v>48.22713849267464</v>
      </c>
      <c r="E97" s="6">
        <f t="shared" si="4"/>
        <v>0</v>
      </c>
    </row>
    <row r="98" spans="2:5" ht="13.5">
      <c r="B98">
        <f t="shared" si="5"/>
        <v>48.22713849267464</v>
      </c>
      <c r="C98">
        <f t="shared" si="6"/>
        <v>48.22713849267465</v>
      </c>
      <c r="D98">
        <f t="shared" si="7"/>
        <v>48.22713849267464</v>
      </c>
      <c r="E98" s="6">
        <f t="shared" si="4"/>
        <v>0</v>
      </c>
    </row>
    <row r="99" spans="2:5" ht="13.5">
      <c r="B99">
        <f t="shared" si="5"/>
        <v>48.22713849267464</v>
      </c>
      <c r="C99">
        <f t="shared" si="6"/>
        <v>48.22713849267465</v>
      </c>
      <c r="D99">
        <f t="shared" si="7"/>
        <v>48.22713849267464</v>
      </c>
      <c r="E99" s="6">
        <f t="shared" si="4"/>
        <v>0</v>
      </c>
    </row>
    <row r="100" spans="2:5" ht="13.5">
      <c r="B100">
        <f t="shared" si="5"/>
        <v>48.22713849267464</v>
      </c>
      <c r="C100">
        <f t="shared" si="6"/>
        <v>48.22713849267465</v>
      </c>
      <c r="D100">
        <f t="shared" si="7"/>
        <v>48.22713849267464</v>
      </c>
      <c r="E100" s="6">
        <f t="shared" si="4"/>
        <v>0</v>
      </c>
    </row>
    <row r="101" spans="2:5" ht="13.5">
      <c r="B101">
        <f t="shared" si="5"/>
        <v>48.22713849267464</v>
      </c>
      <c r="C101">
        <f t="shared" si="6"/>
        <v>48.22713849267465</v>
      </c>
      <c r="D101">
        <f t="shared" si="7"/>
        <v>48.22713849267464</v>
      </c>
      <c r="E101" s="6">
        <f t="shared" si="4"/>
        <v>0</v>
      </c>
    </row>
    <row r="102" spans="2:5" ht="13.5">
      <c r="B102">
        <f t="shared" si="5"/>
        <v>48.22713849267464</v>
      </c>
      <c r="C102">
        <f t="shared" si="6"/>
        <v>48.22713849267465</v>
      </c>
      <c r="D102">
        <f t="shared" si="7"/>
        <v>48.22713849267464</v>
      </c>
      <c r="E102" s="6">
        <f t="shared" si="4"/>
        <v>0</v>
      </c>
    </row>
    <row r="103" spans="2:5" ht="13.5">
      <c r="B103">
        <f t="shared" si="5"/>
        <v>48.22713849267464</v>
      </c>
      <c r="C103">
        <f t="shared" si="6"/>
        <v>48.22713849267465</v>
      </c>
      <c r="D103">
        <f t="shared" si="7"/>
        <v>48.22713849267464</v>
      </c>
      <c r="E103" s="6">
        <f t="shared" si="4"/>
        <v>0</v>
      </c>
    </row>
    <row r="104" spans="2:5" ht="13.5">
      <c r="B104">
        <f t="shared" si="5"/>
        <v>48.22713849267464</v>
      </c>
      <c r="C104">
        <f t="shared" si="6"/>
        <v>48.22713849267465</v>
      </c>
      <c r="D104">
        <f t="shared" si="7"/>
        <v>48.22713849267464</v>
      </c>
      <c r="E104" s="6">
        <f t="shared" si="4"/>
        <v>0</v>
      </c>
    </row>
    <row r="105" spans="2:5" ht="13.5">
      <c r="B105">
        <f t="shared" si="5"/>
        <v>48.22713849267464</v>
      </c>
      <c r="C105">
        <f t="shared" si="6"/>
        <v>48.22713849267465</v>
      </c>
      <c r="D105">
        <f t="shared" si="7"/>
        <v>48.22713849267464</v>
      </c>
      <c r="E105" s="6">
        <f t="shared" si="4"/>
        <v>0</v>
      </c>
    </row>
    <row r="106" spans="2:5" ht="13.5">
      <c r="B106">
        <f t="shared" si="5"/>
        <v>48.22713849267464</v>
      </c>
      <c r="C106">
        <f t="shared" si="6"/>
        <v>48.22713849267465</v>
      </c>
      <c r="D106">
        <f t="shared" si="7"/>
        <v>48.22713849267464</v>
      </c>
      <c r="E106" s="6">
        <f t="shared" si="4"/>
        <v>0</v>
      </c>
    </row>
    <row r="107" spans="2:5" ht="13.5">
      <c r="B107">
        <f t="shared" si="5"/>
        <v>48.22713849267464</v>
      </c>
      <c r="C107">
        <f t="shared" si="6"/>
        <v>48.22713849267465</v>
      </c>
      <c r="D107">
        <f t="shared" si="7"/>
        <v>48.22713849267464</v>
      </c>
      <c r="E107" s="6">
        <f t="shared" si="4"/>
        <v>0</v>
      </c>
    </row>
    <row r="108" spans="2:5" ht="13.5">
      <c r="B108">
        <f t="shared" si="5"/>
        <v>48.22713849267464</v>
      </c>
      <c r="C108">
        <f t="shared" si="6"/>
        <v>48.22713849267465</v>
      </c>
      <c r="D108">
        <f t="shared" si="7"/>
        <v>48.22713849267464</v>
      </c>
      <c r="E108" s="6">
        <f t="shared" si="4"/>
        <v>0</v>
      </c>
    </row>
    <row r="109" spans="2:5" ht="13.5">
      <c r="B109">
        <f t="shared" si="5"/>
        <v>48.22713849267464</v>
      </c>
      <c r="C109">
        <f t="shared" si="6"/>
        <v>48.22713849267465</v>
      </c>
      <c r="D109">
        <f t="shared" si="7"/>
        <v>48.22713849267464</v>
      </c>
      <c r="E109" s="6">
        <f t="shared" si="4"/>
        <v>0</v>
      </c>
    </row>
    <row r="110" spans="2:5" ht="13.5">
      <c r="B110">
        <f t="shared" si="5"/>
        <v>48.22713849267464</v>
      </c>
      <c r="C110">
        <f t="shared" si="6"/>
        <v>48.22713849267465</v>
      </c>
      <c r="D110">
        <f t="shared" si="7"/>
        <v>48.22713849267464</v>
      </c>
      <c r="E110" s="6">
        <f t="shared" si="4"/>
        <v>0</v>
      </c>
    </row>
    <row r="111" spans="2:5" ht="13.5">
      <c r="B111">
        <f t="shared" si="5"/>
        <v>48.22713849267464</v>
      </c>
      <c r="C111">
        <f t="shared" si="6"/>
        <v>48.22713849267465</v>
      </c>
      <c r="D111">
        <f t="shared" si="7"/>
        <v>48.22713849267464</v>
      </c>
      <c r="E111" s="6">
        <f t="shared" si="4"/>
        <v>0</v>
      </c>
    </row>
    <row r="112" spans="2:5" ht="13.5">
      <c r="B112">
        <f t="shared" si="5"/>
        <v>48.22713849267464</v>
      </c>
      <c r="C112">
        <f t="shared" si="6"/>
        <v>48.22713849267465</v>
      </c>
      <c r="D112">
        <f t="shared" si="7"/>
        <v>48.22713849267464</v>
      </c>
      <c r="E112" s="6">
        <f t="shared" si="4"/>
        <v>0</v>
      </c>
    </row>
    <row r="113" spans="2:5" ht="13.5">
      <c r="B113">
        <f t="shared" si="5"/>
        <v>48.22713849267464</v>
      </c>
      <c r="C113">
        <f t="shared" si="6"/>
        <v>48.22713849267465</v>
      </c>
      <c r="D113">
        <f t="shared" si="7"/>
        <v>48.22713849267464</v>
      </c>
      <c r="E113" s="6">
        <f t="shared" si="4"/>
        <v>0</v>
      </c>
    </row>
    <row r="114" spans="2:5" ht="13.5">
      <c r="B114">
        <f t="shared" si="5"/>
        <v>48.22713849267464</v>
      </c>
      <c r="C114">
        <f t="shared" si="6"/>
        <v>48.22713849267465</v>
      </c>
      <c r="D114">
        <f t="shared" si="7"/>
        <v>48.22713849267464</v>
      </c>
      <c r="E114" s="6">
        <f t="shared" si="4"/>
        <v>0</v>
      </c>
    </row>
    <row r="115" spans="2:5" ht="13.5">
      <c r="B115">
        <f t="shared" si="5"/>
        <v>48.22713849267464</v>
      </c>
      <c r="C115">
        <f t="shared" si="6"/>
        <v>48.22713849267465</v>
      </c>
      <c r="D115">
        <f t="shared" si="7"/>
        <v>48.22713849267464</v>
      </c>
      <c r="E115" s="6">
        <f t="shared" si="4"/>
        <v>0</v>
      </c>
    </row>
    <row r="116" spans="2:5" ht="13.5">
      <c r="B116">
        <f t="shared" si="5"/>
        <v>48.22713849267464</v>
      </c>
      <c r="C116">
        <f t="shared" si="6"/>
        <v>48.22713849267465</v>
      </c>
      <c r="D116">
        <f t="shared" si="7"/>
        <v>48.22713849267464</v>
      </c>
      <c r="E116" s="6">
        <f t="shared" si="4"/>
        <v>0</v>
      </c>
    </row>
    <row r="117" spans="2:5" ht="13.5">
      <c r="B117">
        <f t="shared" si="5"/>
        <v>48.22713849267464</v>
      </c>
      <c r="C117">
        <f t="shared" si="6"/>
        <v>48.22713849267465</v>
      </c>
      <c r="D117">
        <f t="shared" si="7"/>
        <v>48.22713849267464</v>
      </c>
      <c r="E117" s="6">
        <f t="shared" si="4"/>
        <v>0</v>
      </c>
    </row>
    <row r="118" spans="2:5" ht="13.5">
      <c r="B118">
        <f t="shared" si="5"/>
        <v>48.22713849267464</v>
      </c>
      <c r="C118">
        <f t="shared" si="6"/>
        <v>48.22713849267465</v>
      </c>
      <c r="D118">
        <f t="shared" si="7"/>
        <v>48.22713849267464</v>
      </c>
      <c r="E118" s="6">
        <f t="shared" si="4"/>
        <v>0</v>
      </c>
    </row>
    <row r="119" spans="2:5" ht="13.5">
      <c r="B119">
        <f t="shared" si="5"/>
        <v>48.22713849267464</v>
      </c>
      <c r="C119">
        <f t="shared" si="6"/>
        <v>48.22713849267465</v>
      </c>
      <c r="D119">
        <f t="shared" si="7"/>
        <v>48.22713849267464</v>
      </c>
      <c r="E119" s="6">
        <f t="shared" si="4"/>
        <v>0</v>
      </c>
    </row>
    <row r="120" spans="2:5" ht="13.5">
      <c r="B120">
        <f t="shared" si="5"/>
        <v>48.22713849267464</v>
      </c>
      <c r="C120">
        <f t="shared" si="6"/>
        <v>48.22713849267465</v>
      </c>
      <c r="D120">
        <f t="shared" si="7"/>
        <v>48.22713849267464</v>
      </c>
      <c r="E120" s="6">
        <f t="shared" si="4"/>
        <v>0</v>
      </c>
    </row>
    <row r="121" spans="2:5" ht="13.5">
      <c r="B121">
        <f t="shared" si="5"/>
        <v>48.22713849267464</v>
      </c>
      <c r="C121">
        <f t="shared" si="6"/>
        <v>48.22713849267465</v>
      </c>
      <c r="D121">
        <f t="shared" si="7"/>
        <v>48.22713849267464</v>
      </c>
      <c r="E121" s="6">
        <f t="shared" si="4"/>
        <v>0</v>
      </c>
    </row>
    <row r="122" spans="2:5" ht="13.5">
      <c r="B122">
        <f t="shared" si="5"/>
        <v>48.22713849267464</v>
      </c>
      <c r="C122">
        <f t="shared" si="6"/>
        <v>48.22713849267465</v>
      </c>
      <c r="D122">
        <f t="shared" si="7"/>
        <v>48.22713849267464</v>
      </c>
      <c r="E122" s="6">
        <f t="shared" si="4"/>
        <v>0</v>
      </c>
    </row>
    <row r="123" spans="2:5" ht="13.5">
      <c r="B123">
        <f t="shared" si="5"/>
        <v>48.22713849267464</v>
      </c>
      <c r="C123">
        <f t="shared" si="6"/>
        <v>48.22713849267465</v>
      </c>
      <c r="D123">
        <f t="shared" si="7"/>
        <v>48.22713849267464</v>
      </c>
      <c r="E123" s="6">
        <f t="shared" si="4"/>
        <v>0</v>
      </c>
    </row>
    <row r="124" spans="2:5" ht="13.5">
      <c r="B124">
        <f t="shared" si="5"/>
        <v>48.22713849267464</v>
      </c>
      <c r="C124">
        <f t="shared" si="6"/>
        <v>48.22713849267465</v>
      </c>
      <c r="D124">
        <f t="shared" si="7"/>
        <v>48.22713849267464</v>
      </c>
      <c r="E124" s="6">
        <f t="shared" si="4"/>
        <v>0</v>
      </c>
    </row>
    <row r="125" spans="2:5" ht="13.5">
      <c r="B125">
        <f t="shared" si="5"/>
        <v>48.22713849267464</v>
      </c>
      <c r="C125">
        <f t="shared" si="6"/>
        <v>48.22713849267465</v>
      </c>
      <c r="D125">
        <f t="shared" si="7"/>
        <v>48.22713849267464</v>
      </c>
      <c r="E125" s="6">
        <f t="shared" si="4"/>
        <v>0</v>
      </c>
    </row>
    <row r="126" spans="2:5" ht="13.5">
      <c r="B126">
        <f t="shared" si="5"/>
        <v>48.22713849267464</v>
      </c>
      <c r="C126">
        <f t="shared" si="6"/>
        <v>48.22713849267465</v>
      </c>
      <c r="D126">
        <f t="shared" si="7"/>
        <v>48.22713849267464</v>
      </c>
      <c r="E126" s="6">
        <f t="shared" si="4"/>
        <v>0</v>
      </c>
    </row>
    <row r="127" spans="2:5" ht="13.5">
      <c r="B127">
        <f t="shared" si="5"/>
        <v>48.22713849267464</v>
      </c>
      <c r="C127">
        <f t="shared" si="6"/>
        <v>48.22713849267465</v>
      </c>
      <c r="D127">
        <f t="shared" si="7"/>
        <v>48.22713849267464</v>
      </c>
      <c r="E127" s="6">
        <f t="shared" si="4"/>
        <v>0</v>
      </c>
    </row>
    <row r="317" ht="13.5">
      <c r="M317" s="1" t="s">
        <v>211</v>
      </c>
    </row>
  </sheetData>
  <printOptions gridLines="1" headings="1"/>
  <pageMargins left="1" right="1" top="1" bottom="1" header="0.5" footer="0.5"/>
  <pageSetup horizontalDpi="600" verticalDpi="600" orientation="landscape" r:id="rId1"/>
  <rowBreaks count="1" manualBreakCount="1">
    <brk id="32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BI236"/>
  <sheetViews>
    <sheetView tabSelected="1" workbookViewId="0" topLeftCell="A1">
      <selection activeCell="A1" sqref="A1"/>
    </sheetView>
  </sheetViews>
  <sheetFormatPr defaultColWidth="9.00390625" defaultRowHeight="13.5"/>
  <cols>
    <col min="1" max="6" width="8.875" style="0" customWidth="1"/>
    <col min="7" max="7" width="5.875" style="0" customWidth="1"/>
    <col min="8" max="16384" width="8.875" style="0" customWidth="1"/>
  </cols>
  <sheetData>
    <row r="1" spans="1:52" ht="13.5">
      <c r="A1" s="1" t="s">
        <v>427</v>
      </c>
      <c r="N1" s="1" t="s">
        <v>624</v>
      </c>
      <c r="S1" t="s">
        <v>627</v>
      </c>
      <c r="AD1" t="s">
        <v>449</v>
      </c>
      <c r="AF1" t="s">
        <v>432</v>
      </c>
      <c r="AI1" s="1" t="s">
        <v>625</v>
      </c>
      <c r="AK1" s="1" t="s">
        <v>626</v>
      </c>
      <c r="AZ1" s="1" t="s">
        <v>608</v>
      </c>
    </row>
    <row r="2" spans="1:61" ht="13.5">
      <c r="A2" s="2">
        <v>0.05</v>
      </c>
      <c r="B2" s="1" t="s">
        <v>428</v>
      </c>
      <c r="N2" s="2">
        <v>0.05</v>
      </c>
      <c r="O2" s="1" t="s">
        <v>204</v>
      </c>
      <c r="S2" t="s">
        <v>628</v>
      </c>
      <c r="AD2">
        <v>0.05</v>
      </c>
      <c r="AE2" s="1" t="s">
        <v>204</v>
      </c>
      <c r="AF2">
        <v>0.05</v>
      </c>
      <c r="AI2">
        <v>0.05</v>
      </c>
      <c r="AK2">
        <v>0.05</v>
      </c>
      <c r="AZ2" t="s">
        <v>599</v>
      </c>
      <c r="BI2">
        <v>0.1</v>
      </c>
    </row>
    <row r="3" spans="1:61" ht="13.5">
      <c r="A3" s="4">
        <v>0.1</v>
      </c>
      <c r="B3" t="s">
        <v>429</v>
      </c>
      <c r="N3" s="4">
        <v>0.1</v>
      </c>
      <c r="O3" s="1" t="s">
        <v>417</v>
      </c>
      <c r="S3" t="s">
        <v>629</v>
      </c>
      <c r="AD3">
        <v>0.05</v>
      </c>
      <c r="AE3" s="1" t="s">
        <v>417</v>
      </c>
      <c r="AF3">
        <v>0.05</v>
      </c>
      <c r="AI3">
        <f>AI2</f>
        <v>0.05</v>
      </c>
      <c r="AK3">
        <f>AK2+0.05</f>
        <v>0.1</v>
      </c>
      <c r="AZ3" s="2">
        <v>1</v>
      </c>
      <c r="BA3" t="s">
        <v>600</v>
      </c>
      <c r="BI3">
        <v>0.1</v>
      </c>
    </row>
    <row r="4" spans="1:61" ht="13.5">
      <c r="A4" s="4">
        <v>0.1</v>
      </c>
      <c r="B4" s="1" t="s">
        <v>430</v>
      </c>
      <c r="N4" s="4">
        <v>0.1</v>
      </c>
      <c r="O4" s="1" t="s">
        <v>419</v>
      </c>
      <c r="S4" t="s">
        <v>630</v>
      </c>
      <c r="AD4">
        <v>0.1</v>
      </c>
      <c r="AE4" s="1" t="s">
        <v>419</v>
      </c>
      <c r="AF4">
        <v>0.1</v>
      </c>
      <c r="AI4">
        <f>AI2*(2*AI8-1)</f>
        <v>0.01180339887498949</v>
      </c>
      <c r="AK4">
        <v>0.05</v>
      </c>
      <c r="AZ4" s="5">
        <v>0.4</v>
      </c>
      <c r="BA4" s="1" t="s">
        <v>607</v>
      </c>
      <c r="BI4">
        <v>0.05</v>
      </c>
    </row>
    <row r="5" spans="1:61" ht="13.5">
      <c r="A5" s="4">
        <v>1</v>
      </c>
      <c r="B5" t="s">
        <v>431</v>
      </c>
      <c r="N5" s="4">
        <v>1</v>
      </c>
      <c r="O5" s="1" t="s">
        <v>416</v>
      </c>
      <c r="S5" t="s">
        <v>631</v>
      </c>
      <c r="AD5">
        <v>1</v>
      </c>
      <c r="AE5" s="1" t="s">
        <v>416</v>
      </c>
      <c r="AF5">
        <v>1</v>
      </c>
      <c r="AI5">
        <v>1</v>
      </c>
      <c r="AK5">
        <v>1</v>
      </c>
      <c r="AZ5">
        <f>AZ4*A15/AZ3</f>
        <v>0.7776501093677093</v>
      </c>
      <c r="BA5" t="s">
        <v>601</v>
      </c>
      <c r="BI5">
        <v>1</v>
      </c>
    </row>
    <row r="6" spans="1:61" ht="13.5">
      <c r="A6" s="5">
        <v>5</v>
      </c>
      <c r="B6" s="1" t="s">
        <v>687</v>
      </c>
      <c r="D6" t="b">
        <f>A6&lt;D8</f>
        <v>1</v>
      </c>
      <c r="E6" s="1" t="s">
        <v>632</v>
      </c>
      <c r="N6" s="5">
        <v>5</v>
      </c>
      <c r="O6" t="s">
        <v>202</v>
      </c>
      <c r="S6" t="s">
        <v>633</v>
      </c>
      <c r="AM6" t="s">
        <v>613</v>
      </c>
      <c r="AZ6" t="s">
        <v>602</v>
      </c>
      <c r="BI6" s="1" t="s">
        <v>634</v>
      </c>
    </row>
    <row r="7" spans="1:61" ht="13.5">
      <c r="A7" s="1" t="s">
        <v>635</v>
      </c>
      <c r="S7" t="s">
        <v>636</v>
      </c>
      <c r="AD7" s="2">
        <v>0.2</v>
      </c>
      <c r="AE7" t="s">
        <v>11</v>
      </c>
      <c r="AF7" s="2">
        <v>1</v>
      </c>
      <c r="AI7">
        <v>1</v>
      </c>
      <c r="AK7">
        <v>1</v>
      </c>
      <c r="AM7">
        <f>A2/A9</f>
        <v>0.125</v>
      </c>
      <c r="AN7" s="1" t="s">
        <v>610</v>
      </c>
      <c r="AZ7">
        <f>(1-AZ4)*(A8*(AZ4/AZ5)^AZ4)^(1/(1-AZ4))</f>
        <v>0.38518416036675024</v>
      </c>
      <c r="BA7" s="1" t="s">
        <v>603</v>
      </c>
      <c r="BI7">
        <v>1</v>
      </c>
    </row>
    <row r="8" spans="1:61" ht="13.5">
      <c r="A8" s="2">
        <v>1</v>
      </c>
      <c r="B8" t="s">
        <v>11</v>
      </c>
      <c r="D8" s="6">
        <f>(A9*A8/A2)^(1/(1-A9))</f>
        <v>32</v>
      </c>
      <c r="E8" s="1" t="s">
        <v>637</v>
      </c>
      <c r="F8">
        <f>MAX(D8-A6,0)</f>
        <v>27</v>
      </c>
      <c r="G8" s="1" t="s">
        <v>638</v>
      </c>
      <c r="N8" s="2">
        <f>(1-$N$15)*($N$15/$N$16)^($N$15/(1-$N$15))</f>
        <v>0.257425104797725</v>
      </c>
      <c r="O8" t="s">
        <v>11</v>
      </c>
      <c r="S8" t="s">
        <v>639</v>
      </c>
      <c r="AD8" s="4">
        <v>0.8</v>
      </c>
      <c r="AE8" t="s">
        <v>4</v>
      </c>
      <c r="AF8" s="4">
        <v>0.5</v>
      </c>
      <c r="AI8">
        <f>(5^0.5-1)/2</f>
        <v>0.6180339887498949</v>
      </c>
      <c r="AK8">
        <v>0.5</v>
      </c>
      <c r="AM8" t="s">
        <v>609</v>
      </c>
      <c r="AZ8">
        <f>A9/(1-AZ4)</f>
        <v>0.6666666666666667</v>
      </c>
      <c r="BA8" s="1" t="s">
        <v>604</v>
      </c>
      <c r="BI8">
        <v>0.25</v>
      </c>
    </row>
    <row r="9" spans="1:61" ht="13.5">
      <c r="A9" s="4">
        <v>0.4</v>
      </c>
      <c r="B9" t="s">
        <v>4</v>
      </c>
      <c r="D9">
        <f>$A$8*(D8)^$A$9+$A$10</f>
        <v>4.000000000000001</v>
      </c>
      <c r="E9" s="1" t="s">
        <v>640</v>
      </c>
      <c r="N9" s="4">
        <f>$N$14/(1-$N$15)</f>
        <v>0.8</v>
      </c>
      <c r="O9" t="s">
        <v>4</v>
      </c>
      <c r="S9" t="s">
        <v>641</v>
      </c>
      <c r="AD9" s="4">
        <v>0</v>
      </c>
      <c r="AE9" s="3" t="s">
        <v>202</v>
      </c>
      <c r="AF9" s="4">
        <v>25</v>
      </c>
      <c r="AI9">
        <v>0</v>
      </c>
      <c r="AK9">
        <v>12</v>
      </c>
      <c r="AM9">
        <f>(AM7-$A$2)/$A$5</f>
        <v>0.075</v>
      </c>
      <c r="AN9" t="s">
        <v>611</v>
      </c>
      <c r="AZ9">
        <f>A6</f>
        <v>5</v>
      </c>
      <c r="BA9" s="1" t="s">
        <v>605</v>
      </c>
      <c r="BI9">
        <v>0.86</v>
      </c>
    </row>
    <row r="10" spans="1:61" ht="13.5">
      <c r="A10" s="5">
        <v>0</v>
      </c>
      <c r="B10" t="s">
        <v>434</v>
      </c>
      <c r="D10" s="6">
        <f>(A9*A8/(A2+A3*A5))^(1/(1-A9))</f>
        <v>5.127998472204118</v>
      </c>
      <c r="E10" s="1" t="s">
        <v>642</v>
      </c>
      <c r="N10" s="5">
        <f>$N$16*$N$17</f>
        <v>0</v>
      </c>
      <c r="O10" t="s">
        <v>434</v>
      </c>
      <c r="S10" t="s">
        <v>643</v>
      </c>
      <c r="AD10" s="5">
        <v>0</v>
      </c>
      <c r="AE10" t="s">
        <v>434</v>
      </c>
      <c r="AF10" s="5">
        <v>0</v>
      </c>
      <c r="AI10">
        <v>0</v>
      </c>
      <c r="AK10">
        <v>0</v>
      </c>
      <c r="AM10">
        <f>IF(AM9&gt;=$A$3,0,($A$4-$A$3+(($A$4-$A$3)^2+4*$A$4*($A$3-AM9))^0.5)/(2*$A$4))</f>
        <v>0.5000000000000001</v>
      </c>
      <c r="AN10" s="1" t="s">
        <v>612</v>
      </c>
      <c r="AO10" s="1"/>
      <c r="AZ10">
        <f>AZ5*AZ3</f>
        <v>0.7776501093677093</v>
      </c>
      <c r="BA10" s="1" t="s">
        <v>606</v>
      </c>
      <c r="BI10">
        <v>0</v>
      </c>
    </row>
    <row r="11" spans="4:40" ht="13.5">
      <c r="D11">
        <f>A8*A6^A9+A10</f>
        <v>1.9036539387158786</v>
      </c>
      <c r="E11" t="s">
        <v>644</v>
      </c>
      <c r="S11" t="s">
        <v>645</v>
      </c>
      <c r="AD11" t="s">
        <v>448</v>
      </c>
      <c r="AM11" t="b">
        <f>AM7&gt;$A$2</f>
        <v>1</v>
      </c>
      <c r="AN11" t="s">
        <v>614</v>
      </c>
    </row>
    <row r="12" spans="4:19" ht="13.5">
      <c r="D12" t="b">
        <f>(D9-$A$2*F8)/($A$5*F8+$D$11/$A$3)&lt;$A$3</f>
        <v>1</v>
      </c>
      <c r="E12" s="1" t="s">
        <v>435</v>
      </c>
      <c r="N12" s="1"/>
      <c r="S12" t="s">
        <v>646</v>
      </c>
    </row>
    <row r="13" spans="1:19" ht="13.5">
      <c r="A13" s="1" t="s">
        <v>436</v>
      </c>
      <c r="N13" s="1"/>
      <c r="S13" t="s">
        <v>647</v>
      </c>
    </row>
    <row r="14" spans="1:41" ht="13.5">
      <c r="A14" s="8">
        <f>E21</f>
        <v>0.27</v>
      </c>
      <c r="B14" s="1" t="s">
        <v>437</v>
      </c>
      <c r="N14">
        <v>0.4</v>
      </c>
      <c r="O14" s="1" t="s">
        <v>648</v>
      </c>
      <c r="S14" t="s">
        <v>650</v>
      </c>
      <c r="AI14" s="1"/>
      <c r="AK14" t="s">
        <v>649</v>
      </c>
      <c r="AM14" s="1" t="s">
        <v>616</v>
      </c>
      <c r="AO14" s="1"/>
    </row>
    <row r="15" spans="1:39" ht="13.5">
      <c r="A15">
        <f>$A$8*($A$6+A14)^$A$9+$A$10</f>
        <v>1.944125273419273</v>
      </c>
      <c r="B15" s="1" t="s">
        <v>651</v>
      </c>
      <c r="N15">
        <v>0.5</v>
      </c>
      <c r="O15" t="s">
        <v>652</v>
      </c>
      <c r="S15" t="s">
        <v>653</v>
      </c>
      <c r="AM15" s="1" t="s">
        <v>615</v>
      </c>
    </row>
    <row r="16" spans="1:39" ht="13.5">
      <c r="A16">
        <f>IF(A14=0,$A$3,(A15-$A$2*A14)/($A$5*A14+$D$11/$A$3))</f>
        <v>0.09999851525454506</v>
      </c>
      <c r="B16" s="1" t="s">
        <v>450</v>
      </c>
      <c r="N16">
        <v>0.9711562522095141</v>
      </c>
      <c r="O16" t="s">
        <v>654</v>
      </c>
      <c r="S16" t="s">
        <v>655</v>
      </c>
      <c r="AD16" t="s">
        <v>617</v>
      </c>
      <c r="AM16" s="1">
        <f>1-(1/A9-1)*A2/(A5*(A4+A3))</f>
        <v>0.625</v>
      </c>
    </row>
    <row r="17" spans="1:30" ht="13.5">
      <c r="A17">
        <f>IF(A16&gt;=$A$3,0,($A$4-$A$3+(($A$4-$A$3)^2+4*$A$4*($A$3-A16))^0.5)/(2*$A$4))</f>
        <v>0.003853239487682818</v>
      </c>
      <c r="B17" s="1" t="s">
        <v>438</v>
      </c>
      <c r="F17" s="37" t="s">
        <v>451</v>
      </c>
      <c r="N17">
        <v>0</v>
      </c>
      <c r="O17" t="s">
        <v>656</v>
      </c>
      <c r="S17" t="s">
        <v>657</v>
      </c>
      <c r="AD17" t="b">
        <f>OR(A17=0,A17&gt;=MAX(0,1-$A$3/$A$4))</f>
        <v>1</v>
      </c>
    </row>
    <row r="18" spans="1:19" ht="13.5">
      <c r="A18">
        <f>(A15-$A$2*A14)/($A$3+$A$4*A17)</f>
        <v>19.232146667221684</v>
      </c>
      <c r="B18" s="1" t="s">
        <v>439</v>
      </c>
      <c r="F18" s="38">
        <f>(1-A17)*($A$3+$A$4*A17)-A16</f>
        <v>0</v>
      </c>
      <c r="S18" t="s">
        <v>658</v>
      </c>
    </row>
    <row r="19" spans="1:45" ht="13.5">
      <c r="A19">
        <f>(1-A17)*($A$5*A14+$D$11/$A$3)</f>
        <v>19.23214666722168</v>
      </c>
      <c r="B19" s="1" t="s">
        <v>452</v>
      </c>
      <c r="F19" s="38">
        <f>A18-A19</f>
        <v>0</v>
      </c>
      <c r="N19">
        <f>((N15/N16)*(A14+A6)^N14)^(1/(1-N15))</f>
        <v>1.001867480056738</v>
      </c>
      <c r="O19" s="1" t="s">
        <v>659</v>
      </c>
      <c r="S19" t="s">
        <v>660</v>
      </c>
      <c r="AS19" s="1"/>
    </row>
    <row r="20" spans="1:19" ht="13.5">
      <c r="A20">
        <f>$A$9*$A$8*(A14+$A$6)^($A$9-1)</f>
        <v>0.14756169058210802</v>
      </c>
      <c r="B20" s="1" t="s">
        <v>661</v>
      </c>
      <c r="F20" s="11" t="s">
        <v>447</v>
      </c>
      <c r="P20" s="1" t="s">
        <v>688</v>
      </c>
      <c r="S20" t="s">
        <v>662</v>
      </c>
    </row>
    <row r="21" spans="1:19" ht="13.5">
      <c r="A21" s="38">
        <f>IF(D12,IF(A16&gt;=A3,A3-A16,A20-A2-A4*A5*(1-A17)^2),A14-F8)</f>
        <v>-0.00166914626581037</v>
      </c>
      <c r="B21" s="51" t="s">
        <v>440</v>
      </c>
      <c r="E21">
        <f ca="1">OFFSET(B29,B27,0)</f>
        <v>0.27</v>
      </c>
      <c r="F21" t="s">
        <v>420</v>
      </c>
      <c r="N21">
        <f>A15*N15</f>
        <v>0.9720626367096366</v>
      </c>
      <c r="O21" t="s">
        <v>663</v>
      </c>
      <c r="S21" t="s">
        <v>664</v>
      </c>
    </row>
    <row r="22" spans="2:19" ht="13.5">
      <c r="B22" s="1"/>
      <c r="E22">
        <f ca="1">OFFSET(D29,B27,0)</f>
        <v>0.003853239487682818</v>
      </c>
      <c r="F22" t="s">
        <v>426</v>
      </c>
      <c r="N22" t="b">
        <f>AND(N6=A6,N14=A9,A8=1,A10=0)</f>
        <v>1</v>
      </c>
      <c r="O22" t="s">
        <v>665</v>
      </c>
      <c r="S22" t="s">
        <v>666</v>
      </c>
    </row>
    <row r="23" spans="2:19" ht="13.5">
      <c r="B23" s="1"/>
      <c r="E23">
        <f>$A$8*($A$6+E21)^$A$9+$A$10</f>
        <v>1.944125273419273</v>
      </c>
      <c r="F23" s="1" t="s">
        <v>667</v>
      </c>
      <c r="N23" t="b">
        <f>N21=N16</f>
        <v>0</v>
      </c>
      <c r="S23" t="s">
        <v>668</v>
      </c>
    </row>
    <row r="24" spans="5:19" ht="13.5">
      <c r="E24">
        <f>MAX(E30:E230)</f>
        <v>19.232146667221684</v>
      </c>
      <c r="F24" t="s">
        <v>441</v>
      </c>
      <c r="S24" t="s">
        <v>669</v>
      </c>
    </row>
    <row r="25" ht="13.5">
      <c r="S25" t="s">
        <v>670</v>
      </c>
    </row>
    <row r="26" spans="2:19" ht="13.5">
      <c r="B26">
        <f>ROW($A$230)-ROW($A$30)</f>
        <v>200</v>
      </c>
      <c r="C26" s="1" t="s">
        <v>444</v>
      </c>
      <c r="I26" s="6">
        <f>(A20-$A$2)/($A$2+$A$5*(1-A17)*($A$3+$A$4*A17)-A20)</f>
        <v>40.03640134049457</v>
      </c>
      <c r="J26" t="s">
        <v>443</v>
      </c>
      <c r="S26" t="s">
        <v>671</v>
      </c>
    </row>
    <row r="27" spans="2:19" ht="13.5">
      <c r="B27">
        <f>MATCH(E24,E30:E230,0)</f>
        <v>3</v>
      </c>
      <c r="C27" s="1" t="s">
        <v>445</v>
      </c>
      <c r="I27">
        <f>A18+I26*(A18-A19)</f>
        <v>19.232146667221826</v>
      </c>
      <c r="J27" t="s">
        <v>425</v>
      </c>
      <c r="S27" t="s">
        <v>673</v>
      </c>
    </row>
    <row r="28" spans="9:19" ht="13.5">
      <c r="I28">
        <f>MAX(1-A3/A4,0)</f>
        <v>0</v>
      </c>
      <c r="J28" t="s">
        <v>672</v>
      </c>
      <c r="S28" t="s">
        <v>675</v>
      </c>
    </row>
    <row r="29" spans="2:19" ht="13.5">
      <c r="B29" s="7" t="s">
        <v>221</v>
      </c>
      <c r="C29" s="7" t="s">
        <v>453</v>
      </c>
      <c r="D29" s="7" t="s">
        <v>454</v>
      </c>
      <c r="E29" s="7" t="s">
        <v>174</v>
      </c>
      <c r="F29" s="7" t="s">
        <v>171</v>
      </c>
      <c r="I29">
        <f>MAX(1-(D9-A2*F8)/(D11+A3*A5*F8),0)</f>
        <v>0.4243702860212861</v>
      </c>
      <c r="J29" s="1" t="s">
        <v>674</v>
      </c>
      <c r="S29" t="s">
        <v>676</v>
      </c>
    </row>
    <row r="30" spans="2:19" ht="13.5">
      <c r="B30" s="24">
        <v>0</v>
      </c>
      <c r="C30">
        <f aca="true" t="shared" si="0" ref="C30:C93">IF(B30=0,$A$3,($A$8*($A$6+B30)^$A$9+$A$10-$A$2*B30)/($A$5*B30+$D$11/$A$3))</f>
        <v>0.1</v>
      </c>
      <c r="D30">
        <f aca="true" t="shared" si="1" ref="D30:D93">IF(C30&gt;=$A$3,0,($A$4-$A$3+(($A$4-$A$3)^2+4*$A$4*($A$3-C30))^0.5)/(2*$A$4))</f>
        <v>0</v>
      </c>
      <c r="E30" s="6">
        <f aca="true" t="shared" si="2" ref="E30:E93">(($A$8*($A$6+B30)^$A$9+$A$10)-$A$2*B30)/($A$3+$A$4*D30)</f>
        <v>19.036539387158786</v>
      </c>
      <c r="F30" s="6">
        <f aca="true" t="shared" si="3" ref="F30:F93">(1-D30)*($A$5*B30+$D$11/$A$3)</f>
        <v>19.036539387158786</v>
      </c>
      <c r="S30" t="s">
        <v>677</v>
      </c>
    </row>
    <row r="31" spans="2:19" ht="13.5">
      <c r="B31">
        <f aca="true" t="shared" si="4" ref="B31:B62">B30+$F$8/$B$26</f>
        <v>0.135</v>
      </c>
      <c r="C31">
        <f t="shared" si="0"/>
        <v>0.10000757829927177</v>
      </c>
      <c r="D31">
        <f t="shared" si="1"/>
        <v>0</v>
      </c>
      <c r="E31" s="6">
        <f t="shared" si="2"/>
        <v>19.17299226378855</v>
      </c>
      <c r="F31" s="6">
        <f t="shared" si="3"/>
        <v>19.171539387158788</v>
      </c>
      <c r="G31" s="6"/>
      <c r="S31" t="s">
        <v>678</v>
      </c>
    </row>
    <row r="32" spans="2:19" ht="13.5">
      <c r="B32">
        <f t="shared" si="4"/>
        <v>0.27</v>
      </c>
      <c r="C32">
        <f t="shared" si="0"/>
        <v>0.09999851525454506</v>
      </c>
      <c r="D32">
        <f t="shared" si="1"/>
        <v>0.003853239487682818</v>
      </c>
      <c r="E32" s="6">
        <f t="shared" si="2"/>
        <v>19.232146667221684</v>
      </c>
      <c r="F32" s="6">
        <f t="shared" si="3"/>
        <v>19.23214666722168</v>
      </c>
      <c r="S32" t="s">
        <v>679</v>
      </c>
    </row>
    <row r="33" spans="2:19" ht="13.5">
      <c r="B33">
        <f t="shared" si="4"/>
        <v>0.405</v>
      </c>
      <c r="C33">
        <f t="shared" si="0"/>
        <v>0.09997382555813966</v>
      </c>
      <c r="D33">
        <f t="shared" si="1"/>
        <v>0.01617851719421276</v>
      </c>
      <c r="E33" s="6">
        <f t="shared" si="2"/>
        <v>19.127004107901676</v>
      </c>
      <c r="F33" s="6">
        <f t="shared" si="3"/>
        <v>19.127004107901673</v>
      </c>
      <c r="S33" t="s">
        <v>680</v>
      </c>
    </row>
    <row r="34" spans="2:19" ht="13.5">
      <c r="B34">
        <f t="shared" si="4"/>
        <v>0.54</v>
      </c>
      <c r="C34">
        <f t="shared" si="0"/>
        <v>0.09993445313975984</v>
      </c>
      <c r="D34">
        <f t="shared" si="1"/>
        <v>0.02560212105278983</v>
      </c>
      <c r="E34" s="6">
        <f t="shared" si="2"/>
        <v>19.075338455974038</v>
      </c>
      <c r="F34" s="6">
        <f t="shared" si="3"/>
        <v>19.075338455974038</v>
      </c>
      <c r="S34" s="1" t="s">
        <v>681</v>
      </c>
    </row>
    <row r="35" spans="2:19" ht="13.5">
      <c r="B35">
        <f t="shared" si="4"/>
        <v>0.675</v>
      </c>
      <c r="C35">
        <f t="shared" si="0"/>
        <v>0.09988127729046946</v>
      </c>
      <c r="D35">
        <f t="shared" si="1"/>
        <v>0.03445616193521082</v>
      </c>
      <c r="E35" s="6">
        <f t="shared" si="2"/>
        <v>19.032355394042558</v>
      </c>
      <c r="F35" s="6">
        <f t="shared" si="3"/>
        <v>19.032355394042558</v>
      </c>
      <c r="S35" t="s">
        <v>682</v>
      </c>
    </row>
    <row r="36" spans="2:19" ht="13.5">
      <c r="B36">
        <f t="shared" si="4"/>
        <v>0.81</v>
      </c>
      <c r="C36">
        <f t="shared" si="0"/>
        <v>0.09981511813721208</v>
      </c>
      <c r="D36">
        <f t="shared" si="1"/>
        <v>0.04299789097013042</v>
      </c>
      <c r="E36" s="6">
        <f t="shared" si="2"/>
        <v>18.993180050455333</v>
      </c>
      <c r="F36" s="6">
        <f t="shared" si="3"/>
        <v>18.993180050455333</v>
      </c>
      <c r="S36" t="s">
        <v>683</v>
      </c>
    </row>
    <row r="37" spans="2:19" ht="13.5">
      <c r="B37">
        <f t="shared" si="4"/>
        <v>0.9450000000000001</v>
      </c>
      <c r="C37">
        <f t="shared" si="0"/>
        <v>0.09973674154988933</v>
      </c>
      <c r="D37">
        <f t="shared" si="1"/>
        <v>0.05130871759366758</v>
      </c>
      <c r="E37" s="6">
        <f t="shared" si="2"/>
        <v>18.956312225656312</v>
      </c>
      <c r="F37" s="6">
        <f t="shared" si="3"/>
        <v>18.95631222565631</v>
      </c>
      <c r="S37" t="s">
        <v>684</v>
      </c>
    </row>
    <row r="38" spans="2:19" ht="13.5">
      <c r="B38">
        <f t="shared" si="4"/>
        <v>1.08</v>
      </c>
      <c r="C38">
        <f t="shared" si="0"/>
        <v>0.09964686355102098</v>
      </c>
      <c r="D38">
        <f t="shared" si="1"/>
        <v>0.05942528493655075</v>
      </c>
      <c r="E38" s="6">
        <f t="shared" si="2"/>
        <v>18.92110830213953</v>
      </c>
      <c r="F38" s="6">
        <f t="shared" si="3"/>
        <v>18.92110830213953</v>
      </c>
      <c r="S38" t="s">
        <v>685</v>
      </c>
    </row>
    <row r="39" spans="2:6" ht="13.5">
      <c r="B39">
        <f t="shared" si="4"/>
        <v>1.215</v>
      </c>
      <c r="C39">
        <f t="shared" si="0"/>
        <v>0.0995461542879998</v>
      </c>
      <c r="D39">
        <f t="shared" si="1"/>
        <v>0.0673680719629264</v>
      </c>
      <c r="E39" s="6">
        <f t="shared" si="2"/>
        <v>18.887232224364634</v>
      </c>
      <c r="F39" s="6">
        <f t="shared" si="3"/>
        <v>18.887232224364634</v>
      </c>
    </row>
    <row r="40" spans="2:19" ht="13.5">
      <c r="B40">
        <f t="shared" si="4"/>
        <v>1.35</v>
      </c>
      <c r="C40">
        <f t="shared" si="0"/>
        <v>0.09943524161956747</v>
      </c>
      <c r="D40">
        <f t="shared" si="1"/>
        <v>0.07515040787863571</v>
      </c>
      <c r="E40" s="6">
        <f t="shared" si="2"/>
        <v>18.854482636979935</v>
      </c>
      <c r="F40" s="6">
        <f t="shared" si="3"/>
        <v>18.854482636979935</v>
      </c>
      <c r="S40" s="1" t="s">
        <v>686</v>
      </c>
    </row>
    <row r="41" spans="2:6" ht="13.5">
      <c r="B41">
        <f t="shared" si="4"/>
        <v>1.485</v>
      </c>
      <c r="C41">
        <f t="shared" si="0"/>
        <v>0.09931471436107497</v>
      </c>
      <c r="D41">
        <f t="shared" si="1"/>
        <v>0.08278198106623395</v>
      </c>
      <c r="E41" s="6">
        <f t="shared" si="2"/>
        <v>18.822725702161033</v>
      </c>
      <c r="F41" s="6">
        <f t="shared" si="3"/>
        <v>18.822725702161033</v>
      </c>
    </row>
    <row r="42" spans="2:6" ht="13.5">
      <c r="B42">
        <f t="shared" si="4"/>
        <v>1.62</v>
      </c>
      <c r="C42">
        <f t="shared" si="0"/>
        <v>0.09918512522712541</v>
      </c>
      <c r="D42">
        <f t="shared" si="1"/>
        <v>0.090270414470888</v>
      </c>
      <c r="E42" s="6">
        <f t="shared" si="2"/>
        <v>18.791865015145742</v>
      </c>
      <c r="F42" s="6">
        <f t="shared" si="3"/>
        <v>18.791865015145742</v>
      </c>
    </row>
    <row r="43" spans="2:6" ht="13.5">
      <c r="B43">
        <f t="shared" si="4"/>
        <v>1.7550000000000001</v>
      </c>
      <c r="C43">
        <f t="shared" si="0"/>
        <v>0.09904699350513523</v>
      </c>
      <c r="D43">
        <f t="shared" si="1"/>
        <v>0.09762205154906244</v>
      </c>
      <c r="E43" s="6">
        <f t="shared" si="2"/>
        <v>18.76182665732121</v>
      </c>
      <c r="F43" s="6">
        <f t="shared" si="3"/>
        <v>18.76182665732121</v>
      </c>
    </row>
    <row r="44" spans="2:6" ht="13.5">
      <c r="B44">
        <f t="shared" si="4"/>
        <v>1.8900000000000001</v>
      </c>
      <c r="C44">
        <f t="shared" si="0"/>
        <v>0.09890080748904163</v>
      </c>
      <c r="D44">
        <f t="shared" si="1"/>
        <v>0.10484238222009129</v>
      </c>
      <c r="E44" s="6">
        <f t="shared" si="2"/>
        <v>18.73255114618649</v>
      </c>
      <c r="F44" s="6">
        <f t="shared" si="3"/>
        <v>18.73255114618649</v>
      </c>
    </row>
    <row r="45" spans="2:6" ht="13.5">
      <c r="B45">
        <f t="shared" si="4"/>
        <v>2.0250000000000004</v>
      </c>
      <c r="C45">
        <f t="shared" si="0"/>
        <v>0.09874702669870215</v>
      </c>
      <c r="D45">
        <f t="shared" si="1"/>
        <v>0.11193628997326346</v>
      </c>
      <c r="E45" s="6">
        <f t="shared" si="2"/>
        <v>18.703988807034474</v>
      </c>
      <c r="F45" s="6">
        <f t="shared" si="3"/>
        <v>18.703988807034474</v>
      </c>
    </row>
    <row r="46" spans="2:6" ht="13.5">
      <c r="B46">
        <f t="shared" si="4"/>
        <v>2.16</v>
      </c>
      <c r="C46">
        <f t="shared" si="0"/>
        <v>0.0985860839073793</v>
      </c>
      <c r="D46">
        <f t="shared" si="1"/>
        <v>0.11890820378008844</v>
      </c>
      <c r="E46" s="6">
        <f t="shared" si="2"/>
        <v>18.67609696227784</v>
      </c>
      <c r="F46" s="6">
        <f t="shared" si="3"/>
        <v>18.67609696227784</v>
      </c>
    </row>
    <row r="47" spans="2:6" ht="13.5">
      <c r="B47">
        <f t="shared" si="4"/>
        <v>2.295</v>
      </c>
      <c r="C47">
        <f t="shared" si="0"/>
        <v>0.09841838699698822</v>
      </c>
      <c r="D47">
        <f t="shared" si="1"/>
        <v>0.12576219634738336</v>
      </c>
      <c r="E47" s="6">
        <f t="shared" si="2"/>
        <v>18.648838142358976</v>
      </c>
      <c r="F47" s="6">
        <f t="shared" si="3"/>
        <v>18.64883814235898</v>
      </c>
    </row>
    <row r="48" spans="2:6" ht="13.5">
      <c r="B48">
        <f t="shared" si="4"/>
        <v>2.4299999999999997</v>
      </c>
      <c r="C48">
        <f t="shared" si="0"/>
        <v>0.09824432065844767</v>
      </c>
      <c r="D48">
        <f t="shared" si="1"/>
        <v>0.13250205060874862</v>
      </c>
      <c r="E48" s="6">
        <f t="shared" si="2"/>
        <v>18.622178898886776</v>
      </c>
      <c r="F48" s="6">
        <f t="shared" si="3"/>
        <v>18.622178898886776</v>
      </c>
    </row>
    <row r="49" spans="2:6" ht="13.5">
      <c r="B49">
        <f t="shared" si="4"/>
        <v>2.5649999999999995</v>
      </c>
      <c r="C49">
        <f t="shared" si="0"/>
        <v>0.09806424795245004</v>
      </c>
      <c r="D49">
        <f t="shared" si="1"/>
        <v>0.13913130659739967</v>
      </c>
      <c r="E49" s="6">
        <f t="shared" si="2"/>
        <v>18.596088987708193</v>
      </c>
      <c r="F49" s="6">
        <f t="shared" si="3"/>
        <v>18.596088987708193</v>
      </c>
    </row>
    <row r="50" spans="2:6" ht="13.5">
      <c r="B50">
        <f t="shared" si="4"/>
        <v>2.6999999999999993</v>
      </c>
      <c r="C50">
        <f t="shared" si="0"/>
        <v>0.09787851174421035</v>
      </c>
      <c r="D50">
        <f t="shared" si="1"/>
        <v>0.1456532957330406</v>
      </c>
      <c r="E50" s="6">
        <f t="shared" si="2"/>
        <v>18.57054078758806</v>
      </c>
      <c r="F50" s="6">
        <f t="shared" si="3"/>
        <v>18.57054078758806</v>
      </c>
    </row>
    <row r="51" spans="2:6" ht="13.5">
      <c r="B51">
        <f t="shared" si="4"/>
        <v>2.834999999999999</v>
      </c>
      <c r="C51">
        <f t="shared" si="0"/>
        <v>0.0976874360242278</v>
      </c>
      <c r="D51">
        <f t="shared" si="1"/>
        <v>0.15207116675333962</v>
      </c>
      <c r="E51" s="6">
        <f t="shared" si="2"/>
        <v>18.545508873861927</v>
      </c>
      <c r="F51" s="6">
        <f t="shared" si="3"/>
        <v>18.545508873861923</v>
      </c>
    </row>
    <row r="52" spans="2:6" ht="13.5">
      <c r="B52">
        <f t="shared" si="4"/>
        <v>2.969999999999999</v>
      </c>
      <c r="C52">
        <f t="shared" si="0"/>
        <v>0.09749132712576213</v>
      </c>
      <c r="D52">
        <f t="shared" si="1"/>
        <v>0.15838790592207094</v>
      </c>
      <c r="E52" s="6">
        <f t="shared" si="2"/>
        <v>18.52096969703513</v>
      </c>
      <c r="F52" s="6">
        <f t="shared" si="3"/>
        <v>18.52096969703513</v>
      </c>
    </row>
    <row r="53" spans="2:6" ht="13.5">
      <c r="B53">
        <f t="shared" si="4"/>
        <v>3.1049999999999986</v>
      </c>
      <c r="C53">
        <f t="shared" si="0"/>
        <v>0.09729047484856168</v>
      </c>
      <c r="D53">
        <f t="shared" si="1"/>
        <v>0.16460635320176206</v>
      </c>
      <c r="E53" s="6">
        <f t="shared" si="2"/>
        <v>18.4969013343654</v>
      </c>
      <c r="F53" s="6">
        <f t="shared" si="3"/>
        <v>18.4969013343654</v>
      </c>
    </row>
    <row r="54" spans="2:6" ht="13.5">
      <c r="B54">
        <f t="shared" si="4"/>
        <v>3.2399999999999984</v>
      </c>
      <c r="C54">
        <f t="shared" si="0"/>
        <v>0.09708515349736102</v>
      </c>
      <c r="D54">
        <f t="shared" si="1"/>
        <v>0.17072921550335152</v>
      </c>
      <c r="E54" s="6">
        <f t="shared" si="2"/>
        <v>18.473283293459655</v>
      </c>
      <c r="F54" s="6">
        <f t="shared" si="3"/>
        <v>18.473283293459655</v>
      </c>
    </row>
    <row r="55" spans="2:6" ht="13.5">
      <c r="B55">
        <f t="shared" si="4"/>
        <v>3.3749999999999982</v>
      </c>
      <c r="C55">
        <f t="shared" si="0"/>
        <v>0.0968756228427696</v>
      </c>
      <c r="D55">
        <f t="shared" si="1"/>
        <v>0.17675907776491726</v>
      </c>
      <c r="E55" s="6">
        <f t="shared" si="2"/>
        <v>18.45009635379248</v>
      </c>
      <c r="F55" s="6">
        <f t="shared" si="3"/>
        <v>18.45009635379248</v>
      </c>
    </row>
    <row r="56" spans="2:6" ht="13.5">
      <c r="B56">
        <f t="shared" si="4"/>
        <v>3.509999999999998</v>
      </c>
      <c r="C56">
        <f t="shared" si="0"/>
        <v>0.09666212901138309</v>
      </c>
      <c r="D56">
        <f t="shared" si="1"/>
        <v>0.1826984123799908</v>
      </c>
      <c r="E56" s="6">
        <f t="shared" si="2"/>
        <v>18.427322436461942</v>
      </c>
      <c r="F56" s="6">
        <f t="shared" si="3"/>
        <v>18.427322436461942</v>
      </c>
    </row>
    <row r="57" spans="2:6" ht="13.5">
      <c r="B57">
        <f t="shared" si="4"/>
        <v>3.644999999999998</v>
      </c>
      <c r="C57">
        <f t="shared" si="0"/>
        <v>0.09644490531125405</v>
      </c>
      <c r="D57">
        <f t="shared" si="1"/>
        <v>0.18854958734364702</v>
      </c>
      <c r="E57" s="6">
        <f t="shared" si="2"/>
        <v>18.40494449539132</v>
      </c>
      <c r="F57" s="6">
        <f t="shared" si="3"/>
        <v>18.40494449539132</v>
      </c>
    </row>
    <row r="58" spans="2:6" ht="13.5">
      <c r="B58">
        <f t="shared" si="4"/>
        <v>3.7799999999999976</v>
      </c>
      <c r="C58">
        <f t="shared" si="0"/>
        <v>0.09622417299824186</v>
      </c>
      <c r="D58">
        <f t="shared" si="1"/>
        <v>0.19431487338230558</v>
      </c>
      <c r="E58" s="6">
        <f t="shared" si="2"/>
        <v>18.382946425120636</v>
      </c>
      <c r="F58" s="6">
        <f t="shared" si="3"/>
        <v>18.382946425120636</v>
      </c>
    </row>
    <row r="59" spans="2:6" ht="13.5">
      <c r="B59">
        <f t="shared" si="4"/>
        <v>3.9149999999999974</v>
      </c>
      <c r="C59">
        <f t="shared" si="0"/>
        <v>0.09600014198821763</v>
      </c>
      <c r="D59">
        <f t="shared" si="1"/>
        <v>0.1999964502630578</v>
      </c>
      <c r="E59" s="6">
        <f t="shared" si="2"/>
        <v>18.36131298165427</v>
      </c>
      <c r="F59" s="6">
        <f t="shared" si="3"/>
        <v>18.36131298165427</v>
      </c>
    </row>
    <row r="60" spans="2:6" ht="13.5">
      <c r="B60">
        <f t="shared" si="4"/>
        <v>4.049999999999997</v>
      </c>
      <c r="C60">
        <f t="shared" si="0"/>
        <v>0.09577301151961455</v>
      </c>
      <c r="D60">
        <f t="shared" si="1"/>
        <v>0.2055964124294355</v>
      </c>
      <c r="E60" s="6">
        <f t="shared" si="2"/>
        <v>18.34002971374808</v>
      </c>
      <c r="F60" s="6">
        <f t="shared" si="3"/>
        <v>18.34002971374808</v>
      </c>
    </row>
    <row r="61" spans="2:6" ht="13.5">
      <c r="B61">
        <f t="shared" si="4"/>
        <v>4.184999999999997</v>
      </c>
      <c r="C61">
        <f t="shared" si="0"/>
        <v>0.09554297077038466</v>
      </c>
      <c r="D61">
        <f t="shared" si="1"/>
        <v>0.2111167740757551</v>
      </c>
      <c r="E61" s="6">
        <f t="shared" si="2"/>
        <v>18.319082902668733</v>
      </c>
      <c r="F61" s="6">
        <f t="shared" si="3"/>
        <v>18.319082902668736</v>
      </c>
    </row>
    <row r="62" spans="2:6" ht="13.5">
      <c r="B62">
        <f t="shared" si="4"/>
        <v>4.319999999999997</v>
      </c>
      <c r="C62">
        <f t="shared" si="0"/>
        <v>0.09531019943303855</v>
      </c>
      <c r="D62">
        <f t="shared" si="1"/>
        <v>0.21655947374708542</v>
      </c>
      <c r="E62" s="6">
        <f t="shared" si="2"/>
        <v>18.2984595089226</v>
      </c>
      <c r="F62" s="6">
        <f t="shared" si="3"/>
        <v>18.298459508922605</v>
      </c>
    </row>
    <row r="63" spans="2:6" ht="13.5">
      <c r="B63">
        <f aca="true" t="shared" si="5" ref="B63:B94">B62+$F$8/$B$26</f>
        <v>4.4549999999999965</v>
      </c>
      <c r="C63">
        <f t="shared" si="0"/>
        <v>0.0950748682511021</v>
      </c>
      <c r="D63">
        <f t="shared" si="1"/>
        <v>0.2219263785334655</v>
      </c>
      <c r="E63" s="6">
        <f t="shared" si="2"/>
        <v>18.27814712479037</v>
      </c>
      <c r="F63" s="6">
        <f t="shared" si="3"/>
        <v>18.278147124790365</v>
      </c>
    </row>
    <row r="64" spans="2:6" ht="13.5">
      <c r="B64">
        <f t="shared" si="5"/>
        <v>4.589999999999996</v>
      </c>
      <c r="C64">
        <f t="shared" si="0"/>
        <v>0.09483713952001932</v>
      </c>
      <c r="D64">
        <f t="shared" si="1"/>
        <v>0.2272192879132554</v>
      </c>
      <c r="E64" s="6">
        <f t="shared" si="2"/>
        <v>18.258133931754085</v>
      </c>
      <c r="F64" s="6">
        <f t="shared" si="3"/>
        <v>18.25813393175408</v>
      </c>
    </row>
    <row r="65" spans="2:6" ht="13.5">
      <c r="B65">
        <f t="shared" si="5"/>
        <v>4.724999999999996</v>
      </c>
      <c r="C65">
        <f t="shared" si="0"/>
        <v>0.09459716755525376</v>
      </c>
      <c r="D65">
        <f t="shared" si="1"/>
        <v>0.23243993729017934</v>
      </c>
      <c r="E65" s="6">
        <f t="shared" si="2"/>
        <v>18.23840866208947</v>
      </c>
      <c r="F65" s="6">
        <f t="shared" si="3"/>
        <v>18.23840866208947</v>
      </c>
    </row>
    <row r="66" spans="2:6" ht="13.5">
      <c r="B66">
        <f t="shared" si="5"/>
        <v>4.859999999999996</v>
      </c>
      <c r="C66">
        <f t="shared" si="0"/>
        <v>0.09435509913009751</v>
      </c>
      <c r="D66">
        <f t="shared" si="1"/>
        <v>0.23759000126062735</v>
      </c>
      <c r="E66" s="6">
        <f t="shared" si="2"/>
        <v>18.218960564039097</v>
      </c>
      <c r="F66" s="6">
        <f t="shared" si="3"/>
        <v>18.218960564039097</v>
      </c>
    </row>
    <row r="67" spans="2:6" ht="13.5">
      <c r="B67">
        <f t="shared" si="5"/>
        <v>4.994999999999996</v>
      </c>
      <c r="C67">
        <f t="shared" si="0"/>
        <v>0.09411107388547421</v>
      </c>
      <c r="D67">
        <f t="shared" si="1"/>
        <v>0.24267109664164363</v>
      </c>
      <c r="E67" s="6">
        <f t="shared" si="2"/>
        <v>18.199779370090106</v>
      </c>
      <c r="F67" s="6">
        <f t="shared" si="3"/>
        <v>18.199779370090106</v>
      </c>
    </row>
    <row r="68" spans="2:6" ht="13.5">
      <c r="B68">
        <f t="shared" si="5"/>
        <v>5.1299999999999955</v>
      </c>
      <c r="C68">
        <f t="shared" si="0"/>
        <v>0.09386522471382319</v>
      </c>
      <c r="D68">
        <f t="shared" si="1"/>
        <v>0.2476847852851849</v>
      </c>
      <c r="E68" s="6">
        <f t="shared" si="2"/>
        <v>18.180855267964397</v>
      </c>
      <c r="F68" s="6">
        <f t="shared" si="3"/>
        <v>18.180855267964397</v>
      </c>
    </row>
    <row r="69" spans="2:6" ht="13.5">
      <c r="B69">
        <f t="shared" si="5"/>
        <v>5.264999999999995</v>
      </c>
      <c r="C69">
        <f t="shared" si="0"/>
        <v>0.09361767811897473</v>
      </c>
      <c r="D69">
        <f t="shared" si="1"/>
        <v>0.2526325767003392</v>
      </c>
      <c r="E69" s="6">
        <f t="shared" si="2"/>
        <v>18.162178873996076</v>
      </c>
      <c r="F69" s="6">
        <f t="shared" si="3"/>
        <v>18.162178873996076</v>
      </c>
    </row>
    <row r="70" spans="2:6" ht="13.5">
      <c r="B70">
        <f t="shared" si="5"/>
        <v>5.399999999999995</v>
      </c>
      <c r="C70">
        <f t="shared" si="0"/>
        <v>0.0933685545537615</v>
      </c>
      <c r="D70">
        <f t="shared" si="1"/>
        <v>0.25751593050214394</v>
      </c>
      <c r="E70" s="6">
        <f t="shared" si="2"/>
        <v>18.143741208622295</v>
      </c>
      <c r="F70" s="6">
        <f t="shared" si="3"/>
        <v>18.1437412086223</v>
      </c>
    </row>
    <row r="71" spans="2:6" ht="13.5">
      <c r="B71">
        <f t="shared" si="5"/>
        <v>5.534999999999995</v>
      </c>
      <c r="C71">
        <f t="shared" si="0"/>
        <v>0.09311796873696804</v>
      </c>
      <c r="D71">
        <f t="shared" si="1"/>
        <v>0.2623362587030616</v>
      </c>
      <c r="E71" s="6">
        <f t="shared" si="2"/>
        <v>18.125533673756625</v>
      </c>
      <c r="F71" s="6">
        <f t="shared" si="3"/>
        <v>18.125533673756628</v>
      </c>
    </row>
    <row r="72" spans="2:6" ht="13.5">
      <c r="B72">
        <f t="shared" si="5"/>
        <v>5.669999999999995</v>
      </c>
      <c r="C72">
        <f t="shared" si="0"/>
        <v>0.09286602995108585</v>
      </c>
      <c r="D72">
        <f t="shared" si="1"/>
        <v>0.2670949278611287</v>
      </c>
      <c r="E72" s="6">
        <f t="shared" si="2"/>
        <v>18.10754803184747</v>
      </c>
      <c r="F72" s="6">
        <f t="shared" si="3"/>
        <v>18.107548031847468</v>
      </c>
    </row>
    <row r="73" spans="2:6" ht="13.5">
      <c r="B73">
        <f t="shared" si="5"/>
        <v>5.804999999999994</v>
      </c>
      <c r="C73">
        <f t="shared" si="0"/>
        <v>0.0926128423222221</v>
      </c>
      <c r="D73">
        <f t="shared" si="1"/>
        <v>0.2717932610970682</v>
      </c>
      <c r="E73" s="6">
        <f t="shared" si="2"/>
        <v>18.08977638645163</v>
      </c>
      <c r="F73" s="6">
        <f t="shared" si="3"/>
        <v>18.089776386451632</v>
      </c>
    </row>
    <row r="74" spans="2:6" ht="13.5">
      <c r="B74">
        <f t="shared" si="5"/>
        <v>5.939999999999994</v>
      </c>
      <c r="C74">
        <f t="shared" si="0"/>
        <v>0.09235850508340217</v>
      </c>
      <c r="D74">
        <f t="shared" si="1"/>
        <v>0.2764325399911855</v>
      </c>
      <c r="E74" s="6">
        <f t="shared" si="2"/>
        <v>18.072211164176593</v>
      </c>
      <c r="F74" s="6">
        <f t="shared" si="3"/>
        <v>18.07221116417659</v>
      </c>
    </row>
    <row r="75" spans="2:6" ht="13.5">
      <c r="B75">
        <f t="shared" si="5"/>
        <v>6.074999999999994</v>
      </c>
      <c r="C75">
        <f t="shared" si="0"/>
        <v>0.09210311282240569</v>
      </c>
      <c r="D75">
        <f t="shared" si="1"/>
        <v>0.28101400636968826</v>
      </c>
      <c r="E75" s="6">
        <f t="shared" si="2"/>
        <v>18.054845097863062</v>
      </c>
      <c r="F75" s="6">
        <f t="shared" si="3"/>
        <v>18.054845097863065</v>
      </c>
    </row>
    <row r="76" spans="2:6" ht="13.5">
      <c r="B76">
        <f t="shared" si="5"/>
        <v>6.209999999999994</v>
      </c>
      <c r="C76">
        <f t="shared" si="0"/>
        <v>0.09184675571518756</v>
      </c>
      <c r="D76">
        <f t="shared" si="1"/>
        <v>0.2855388639889926</v>
      </c>
      <c r="E76" s="6">
        <f t="shared" si="2"/>
        <v>18.037671210896107</v>
      </c>
      <c r="F76" s="6">
        <f t="shared" si="3"/>
        <v>18.037671210896104</v>
      </c>
    </row>
    <row r="77" spans="2:6" ht="13.5">
      <c r="B77">
        <f t="shared" si="5"/>
        <v>6.3449999999999935</v>
      </c>
      <c r="C77">
        <f t="shared" si="0"/>
        <v>0.09158951974585224</v>
      </c>
      <c r="D77">
        <f t="shared" si="1"/>
        <v>0.29000828012571933</v>
      </c>
      <c r="E77" s="6">
        <f t="shared" si="2"/>
        <v>18.020682802545657</v>
      </c>
      <c r="F77" s="6">
        <f t="shared" si="3"/>
        <v>18.020682802545657</v>
      </c>
    </row>
    <row r="78" spans="2:6" ht="13.5">
      <c r="B78">
        <f t="shared" si="5"/>
        <v>6.479999999999993</v>
      </c>
      <c r="C78">
        <f t="shared" si="0"/>
        <v>0.09133148691407564</v>
      </c>
      <c r="D78">
        <f t="shared" si="1"/>
        <v>0.29442338707929383</v>
      </c>
      <c r="E78" s="6">
        <f t="shared" si="2"/>
        <v>18.003873434249282</v>
      </c>
      <c r="F78" s="6">
        <f t="shared" si="3"/>
        <v>18.003873434249282</v>
      </c>
    </row>
    <row r="79" spans="2:6" ht="13.5">
      <c r="B79">
        <f t="shared" si="5"/>
        <v>6.614999999999993</v>
      </c>
      <c r="C79">
        <f t="shared" si="0"/>
        <v>0.09107273543080067</v>
      </c>
      <c r="D79">
        <f t="shared" si="1"/>
        <v>0.2987852835934081</v>
      </c>
      <c r="E79" s="6">
        <f t="shared" si="2"/>
        <v>17.987236916759063</v>
      </c>
      <c r="F79" s="6">
        <f t="shared" si="3"/>
        <v>17.987236916759063</v>
      </c>
    </row>
    <row r="80" spans="2:6" ht="13.5">
      <c r="B80">
        <f t="shared" si="5"/>
        <v>6.749999999999993</v>
      </c>
      <c r="C80">
        <f t="shared" si="0"/>
        <v>0.0908133399029702</v>
      </c>
      <c r="D80">
        <f t="shared" si="1"/>
        <v>0.3030950362020104</v>
      </c>
      <c r="E80" s="6">
        <f t="shared" si="2"/>
        <v>17.970767298083324</v>
      </c>
      <c r="F80" s="6">
        <f t="shared" si="3"/>
        <v>17.970767298083324</v>
      </c>
    </row>
    <row r="81" spans="2:6" ht="13.5">
      <c r="B81">
        <f t="shared" si="5"/>
        <v>6.884999999999993</v>
      </c>
      <c r="C81">
        <f t="shared" si="0"/>
        <v>0.09055337150800429</v>
      </c>
      <c r="D81">
        <f t="shared" si="1"/>
        <v>0.3073536805049798</v>
      </c>
      <c r="E81" s="6">
        <f t="shared" si="2"/>
        <v>17.954458852160734</v>
      </c>
      <c r="F81" s="6">
        <f t="shared" si="3"/>
        <v>17.95445885216073</v>
      </c>
    </row>
    <row r="82" spans="2:6" ht="13.5">
      <c r="B82">
        <f t="shared" si="5"/>
        <v>7.0199999999999925</v>
      </c>
      <c r="C82">
        <f t="shared" si="0"/>
        <v>0.09029289815867628</v>
      </c>
      <c r="D82">
        <f t="shared" si="1"/>
        <v>0.3115622223781909</v>
      </c>
      <c r="E82" s="6">
        <f t="shared" si="2"/>
        <v>17.938306068210725</v>
      </c>
      <c r="F82" s="6">
        <f t="shared" si="3"/>
        <v>17.938306068210725</v>
      </c>
    </row>
    <row r="83" spans="2:6" ht="13.5">
      <c r="B83">
        <f t="shared" si="5"/>
        <v>7.154999999999992</v>
      </c>
      <c r="C83">
        <f t="shared" si="0"/>
        <v>0.09003198465899472</v>
      </c>
      <c r="D83">
        <f t="shared" si="1"/>
        <v>0.31572163912227</v>
      </c>
      <c r="E83" s="6">
        <f t="shared" si="2"/>
        <v>17.92230364070951</v>
      </c>
      <c r="F83" s="6">
        <f t="shared" si="3"/>
        <v>17.92230364070951</v>
      </c>
    </row>
    <row r="84" spans="2:6" ht="13.5">
      <c r="B84">
        <f t="shared" si="5"/>
        <v>7.289999999999992</v>
      </c>
      <c r="C84">
        <f t="shared" si="0"/>
        <v>0.08977069285165468</v>
      </c>
      <c r="D84">
        <f t="shared" si="1"/>
        <v>0.3198328805539751</v>
      </c>
      <c r="E84" s="6">
        <f t="shared" si="2"/>
        <v>17.906446459946103</v>
      </c>
      <c r="F84" s="6">
        <f t="shared" si="3"/>
        <v>17.906446459946103</v>
      </c>
    </row>
    <row r="85" spans="2:6" ht="13.5">
      <c r="B85">
        <f t="shared" si="5"/>
        <v>7.424999999999992</v>
      </c>
      <c r="C85">
        <f t="shared" si="0"/>
        <v>0.08950908175758028</v>
      </c>
      <c r="D85">
        <f t="shared" si="1"/>
        <v>0.32389687004384166</v>
      </c>
      <c r="E85" s="6">
        <f t="shared" si="2"/>
        <v>17.890729603116217</v>
      </c>
      <c r="F85" s="6">
        <f t="shared" si="3"/>
        <v>17.890729603116217</v>
      </c>
    </row>
    <row r="86" spans="2:6" ht="13.5">
      <c r="B86">
        <f t="shared" si="5"/>
        <v>7.559999999999992</v>
      </c>
      <c r="C86">
        <f t="shared" si="0"/>
        <v>0.08924720770804538</v>
      </c>
      <c r="D86">
        <f t="shared" si="1"/>
        <v>0.3279145055034105</v>
      </c>
      <c r="E86" s="6">
        <f t="shared" si="2"/>
        <v>17.875148325916626</v>
      </c>
      <c r="F86" s="6">
        <f t="shared" si="3"/>
        <v>17.875148325916626</v>
      </c>
    </row>
    <row r="87" spans="2:6" ht="13.5">
      <c r="B87">
        <f t="shared" si="5"/>
        <v>7.694999999999991</v>
      </c>
      <c r="C87">
        <f t="shared" si="0"/>
        <v>0.08898512446982332</v>
      </c>
      <c r="D87">
        <f t="shared" si="1"/>
        <v>0.3318866603251279</v>
      </c>
      <c r="E87" s="6">
        <f t="shared" si="2"/>
        <v>17.85969805460503</v>
      </c>
      <c r="F87" s="6">
        <f t="shared" si="3"/>
        <v>17.859698054605033</v>
      </c>
    </row>
    <row r="88" spans="2:6" ht="13.5">
      <c r="B88">
        <f t="shared" si="5"/>
        <v>7.829999999999991</v>
      </c>
      <c r="C88">
        <f t="shared" si="0"/>
        <v>0.08872288336378681</v>
      </c>
      <c r="D88">
        <f t="shared" si="1"/>
        <v>0.33581418427775195</v>
      </c>
      <c r="E88" s="6">
        <f t="shared" si="2"/>
        <v>17.84437437849396</v>
      </c>
      <c r="F88" s="6">
        <f t="shared" si="3"/>
        <v>17.844374378493956</v>
      </c>
    </row>
    <row r="89" spans="2:6" ht="13.5">
      <c r="B89">
        <f t="shared" si="5"/>
        <v>7.964999999999991</v>
      </c>
      <c r="C89">
        <f t="shared" si="0"/>
        <v>0.08846053337734937</v>
      </c>
      <c r="D89">
        <f t="shared" si="1"/>
        <v>0.339697904359898</v>
      </c>
      <c r="E89" s="6">
        <f t="shared" si="2"/>
        <v>17.8291730428497</v>
      </c>
      <c r="F89" s="6">
        <f t="shared" si="3"/>
        <v>17.829173042849696</v>
      </c>
    </row>
    <row r="90" spans="2:6" ht="13.5">
      <c r="B90">
        <f t="shared" si="5"/>
        <v>8.09999999999999</v>
      </c>
      <c r="C90">
        <f t="shared" si="0"/>
        <v>0.08819812127111261</v>
      </c>
      <c r="D90">
        <f t="shared" si="1"/>
        <v>0.3435386256141716</v>
      </c>
      <c r="E90" s="6">
        <f t="shared" si="2"/>
        <v>17.814089942169414</v>
      </c>
      <c r="F90" s="6">
        <f t="shared" si="3"/>
        <v>17.814089942169417</v>
      </c>
    </row>
    <row r="91" spans="2:6" ht="13.5">
      <c r="B91">
        <f t="shared" si="5"/>
        <v>8.23499999999999</v>
      </c>
      <c r="C91">
        <f t="shared" si="0"/>
        <v>0.08793569168006073</v>
      </c>
      <c r="D91">
        <f t="shared" si="1"/>
        <v>0.34733713190413834</v>
      </c>
      <c r="E91" s="6">
        <f t="shared" si="2"/>
        <v>17.79912111381231</v>
      </c>
      <c r="F91" s="6">
        <f t="shared" si="3"/>
        <v>17.799121113812305</v>
      </c>
    </row>
    <row r="92" spans="2:6" ht="13.5">
      <c r="B92">
        <f t="shared" si="5"/>
        <v>8.36999999999999</v>
      </c>
      <c r="C92">
        <f t="shared" si="0"/>
        <v>0.08767328720961891</v>
      </c>
      <c r="D92">
        <f t="shared" si="1"/>
        <v>0.35109418665624603</v>
      </c>
      <c r="E92" s="6">
        <f t="shared" si="2"/>
        <v>17.784262731961892</v>
      </c>
      <c r="F92" s="6">
        <f t="shared" si="3"/>
        <v>17.784262731961896</v>
      </c>
    </row>
    <row r="93" spans="2:6" ht="13.5">
      <c r="B93">
        <f t="shared" si="5"/>
        <v>8.50499999999999</v>
      </c>
      <c r="C93">
        <f t="shared" si="0"/>
        <v>0.08741094852687263</v>
      </c>
      <c r="D93">
        <f t="shared" si="1"/>
        <v>0.3548105335686551</v>
      </c>
      <c r="E93" s="6">
        <f t="shared" si="2"/>
        <v>17.76951110189884</v>
      </c>
      <c r="F93" s="6">
        <f t="shared" si="3"/>
        <v>17.769511101898843</v>
      </c>
    </row>
    <row r="94" spans="2:6" ht="13.5">
      <c r="B94">
        <f t="shared" si="5"/>
        <v>8.63999999999999</v>
      </c>
      <c r="C94">
        <f aca="true" t="shared" si="6" ref="C94:C157">IF(B94=0,$A$3,($A$8*($A$6+B94)^$A$9+$A$10-$A$2*B94)/($A$5*B94+$D$11/$A$3))</f>
        <v>0.08714871444722494</v>
      </c>
      <c r="D94">
        <f aca="true" t="shared" si="7" ref="D94:D157">IF(C94&gt;=$A$3,0,($A$4-$A$3+(($A$4-$A$3)^2+4*$A$4*($A$3-C94))^0.5)/(2*$A$4))</f>
        <v>0.3584868972888</v>
      </c>
      <c r="E94" s="6">
        <f aca="true" t="shared" si="8" ref="E94:E157">(($A$8*($A$6+B94)^$A$9+$A$10)-$A$2*B94)/($A$3+$A$4*D94)</f>
        <v>17.75486265456496</v>
      </c>
      <c r="F94" s="6">
        <f aca="true" t="shared" si="9" ref="F94:F157">(1-D94)*($A$5*B94+$D$11/$A$3)</f>
        <v>17.75486265456496</v>
      </c>
    </row>
    <row r="95" spans="2:6" ht="13.5">
      <c r="B95">
        <f aca="true" t="shared" si="10" ref="B95:B126">B94+$F$8/$B$26</f>
        <v>8.77499999999999</v>
      </c>
      <c r="C95">
        <f t="shared" si="6"/>
        <v>0.08688662201675029</v>
      </c>
      <c r="D95">
        <f t="shared" si="7"/>
        <v>0.3621239840613945</v>
      </c>
      <c r="E95" s="6">
        <f t="shared" si="8"/>
        <v>17.740313941400444</v>
      </c>
      <c r="F95" s="6">
        <f t="shared" si="9"/>
        <v>17.740313941400444</v>
      </c>
    </row>
    <row r="96" spans="2:6" ht="13.5">
      <c r="B96">
        <f t="shared" si="10"/>
        <v>8.90999999999999</v>
      </c>
      <c r="C96">
        <f t="shared" si="6"/>
        <v>0.08662470659048846</v>
      </c>
      <c r="D96">
        <f t="shared" si="7"/>
        <v>0.3657224823484543</v>
      </c>
      <c r="E96" s="6">
        <f t="shared" si="8"/>
        <v>17.72586162943822</v>
      </c>
      <c r="F96" s="6">
        <f t="shared" si="9"/>
        <v>17.725861629438217</v>
      </c>
    </row>
    <row r="97" spans="2:6" ht="13.5">
      <c r="B97">
        <f t="shared" si="10"/>
        <v>9.04499999999999</v>
      </c>
      <c r="C97">
        <f t="shared" si="6"/>
        <v>0.08636300190690409</v>
      </c>
      <c r="D97">
        <f t="shared" si="7"/>
        <v>0.36928306342284256</v>
      </c>
      <c r="E97" s="6">
        <f t="shared" si="8"/>
        <v>17.71150249663957</v>
      </c>
      <c r="F97" s="6">
        <f t="shared" si="9"/>
        <v>17.71150249663957</v>
      </c>
    </row>
    <row r="98" spans="2:6" ht="13.5">
      <c r="B98">
        <f t="shared" si="10"/>
        <v>9.179999999999989</v>
      </c>
      <c r="C98">
        <f t="shared" si="6"/>
        <v>0.08610154015872544</v>
      </c>
      <c r="D98">
        <f t="shared" si="7"/>
        <v>0.3728063819367175</v>
      </c>
      <c r="E98" s="6">
        <f t="shared" si="8"/>
        <v>17.697233427457228</v>
      </c>
      <c r="F98" s="6">
        <f t="shared" si="9"/>
        <v>17.697233427457228</v>
      </c>
    </row>
    <row r="99" spans="2:6" ht="13.5">
      <c r="B99">
        <f t="shared" si="10"/>
        <v>9.314999999999989</v>
      </c>
      <c r="C99">
        <f t="shared" si="6"/>
        <v>0.08584035206036122</v>
      </c>
      <c r="D99">
        <f t="shared" si="7"/>
        <v>0.3762930764661872</v>
      </c>
      <c r="E99" s="6">
        <f t="shared" si="8"/>
        <v>17.68305140861252</v>
      </c>
      <c r="F99" s="6">
        <f t="shared" si="9"/>
        <v>17.68305140861252</v>
      </c>
    </row>
    <row r="100" spans="2:6" ht="13.5">
      <c r="B100">
        <f t="shared" si="10"/>
        <v>9.449999999999989</v>
      </c>
      <c r="C100">
        <f t="shared" si="6"/>
        <v>0.08557946691208201</v>
      </c>
      <c r="D100">
        <f t="shared" si="7"/>
        <v>0.37974377003340015</v>
      </c>
      <c r="E100" s="6">
        <f t="shared" si="8"/>
        <v>17.668953525074155</v>
      </c>
      <c r="F100" s="6">
        <f t="shared" si="9"/>
        <v>17.66895352507416</v>
      </c>
    </row>
    <row r="101" spans="2:6" ht="13.5">
      <c r="B101">
        <f t="shared" si="10"/>
        <v>9.584999999999988</v>
      </c>
      <c r="C101">
        <f t="shared" si="6"/>
        <v>0.08531891266114205</v>
      </c>
      <c r="D101">
        <f t="shared" si="7"/>
        <v>0.3831590706072081</v>
      </c>
      <c r="E101" s="6">
        <f t="shared" si="8"/>
        <v>17.654936956227417</v>
      </c>
      <c r="F101" s="6">
        <f t="shared" si="9"/>
        <v>17.65493695622742</v>
      </c>
    </row>
    <row r="102" spans="2:6" ht="13.5">
      <c r="B102">
        <f t="shared" si="10"/>
        <v>9.719999999999988</v>
      </c>
      <c r="C102">
        <f t="shared" si="6"/>
        <v>0.08505871596000557</v>
      </c>
      <c r="D102">
        <f t="shared" si="7"/>
        <v>0.3865395715834853</v>
      </c>
      <c r="E102" s="6">
        <f t="shared" si="8"/>
        <v>17.6409989722228</v>
      </c>
      <c r="F102" s="6">
        <f t="shared" si="9"/>
        <v>17.6409989722228</v>
      </c>
    </row>
    <row r="103" spans="2:6" ht="13.5">
      <c r="B103">
        <f t="shared" si="10"/>
        <v>9.854999999999988</v>
      </c>
      <c r="C103">
        <f t="shared" si="6"/>
        <v>0.08479890222183235</v>
      </c>
      <c r="D103">
        <f t="shared" si="7"/>
        <v>0.3898858522461113</v>
      </c>
      <c r="E103" s="6">
        <f t="shared" si="8"/>
        <v>17.627136930494284</v>
      </c>
      <c r="F103" s="6">
        <f t="shared" si="9"/>
        <v>17.627136930494284</v>
      </c>
    </row>
    <row r="104" spans="2:6" ht="13.5">
      <c r="B104">
        <f t="shared" si="10"/>
        <v>9.989999999999988</v>
      </c>
      <c r="C104">
        <f t="shared" si="6"/>
        <v>0.0845394956733677</v>
      </c>
      <c r="D104">
        <f t="shared" si="7"/>
        <v>0.3931984782095717</v>
      </c>
      <c r="E104" s="6">
        <f t="shared" si="8"/>
        <v>17.613348272437747</v>
      </c>
      <c r="F104" s="6">
        <f t="shared" si="9"/>
        <v>17.61334827243775</v>
      </c>
    </row>
    <row r="105" spans="2:6" ht="13.5">
      <c r="B105">
        <f t="shared" si="10"/>
        <v>10.124999999999988</v>
      </c>
      <c r="C105">
        <f t="shared" si="6"/>
        <v>0.08428051940537337</v>
      </c>
      <c r="D105">
        <f t="shared" si="7"/>
        <v>0.3964780018440699</v>
      </c>
      <c r="E105" s="6">
        <f t="shared" si="8"/>
        <v>17.599630520240922</v>
      </c>
      <c r="F105" s="6">
        <f t="shared" si="9"/>
        <v>17.599630520240922</v>
      </c>
    </row>
    <row r="106" spans="2:6" ht="13.5">
      <c r="B106">
        <f t="shared" si="10"/>
        <v>10.259999999999987</v>
      </c>
      <c r="C106">
        <f t="shared" si="6"/>
        <v>0.0840219954207281</v>
      </c>
      <c r="D106">
        <f t="shared" si="7"/>
        <v>0.39972496268399244</v>
      </c>
      <c r="E106" s="6">
        <f t="shared" si="8"/>
        <v>17.585981273856618</v>
      </c>
      <c r="F106" s="6">
        <f t="shared" si="9"/>
        <v>17.585981273856618</v>
      </c>
    </row>
    <row r="107" spans="2:6" ht="13.5">
      <c r="B107">
        <f t="shared" si="10"/>
        <v>10.394999999999987</v>
      </c>
      <c r="C107">
        <f t="shared" si="6"/>
        <v>0.08376394468031781</v>
      </c>
      <c r="D107">
        <f t="shared" si="7"/>
        <v>0.4029398878205308</v>
      </c>
      <c r="E107" s="6">
        <f t="shared" si="8"/>
        <v>17.57239820811148</v>
      </c>
      <c r="F107" s="6">
        <f t="shared" si="9"/>
        <v>17.572398208111483</v>
      </c>
    </row>
    <row r="108" spans="2:6" ht="13.5">
      <c r="B108">
        <f t="shared" si="10"/>
        <v>10.529999999999987</v>
      </c>
      <c r="C108">
        <f t="shared" si="6"/>
        <v>0.08350638714683088</v>
      </c>
      <c r="D108">
        <f t="shared" si="7"/>
        <v>0.4061232922791935</v>
      </c>
      <c r="E108" s="6">
        <f t="shared" si="8"/>
        <v>17.558879069943405</v>
      </c>
      <c r="F108" s="6">
        <f t="shared" si="9"/>
        <v>17.558879069943405</v>
      </c>
    </row>
    <row r="109" spans="2:6" ht="13.5">
      <c r="B109">
        <f t="shared" si="10"/>
        <v>10.664999999999987</v>
      </c>
      <c r="C109">
        <f t="shared" si="6"/>
        <v>0.08324934182656389</v>
      </c>
      <c r="D109">
        <f t="shared" si="7"/>
        <v>0.40927567938293274</v>
      </c>
      <c r="E109" s="6">
        <f t="shared" si="8"/>
        <v>17.545421675760434</v>
      </c>
      <c r="F109" s="6">
        <f t="shared" si="9"/>
        <v>17.54542167576043</v>
      </c>
    </row>
    <row r="110" spans="2:6" ht="13.5">
      <c r="B110">
        <f t="shared" si="10"/>
        <v>10.799999999999986</v>
      </c>
      <c r="C110">
        <f t="shared" si="6"/>
        <v>0.08299282680934032</v>
      </c>
      <c r="D110">
        <f t="shared" si="7"/>
        <v>0.41239754110154053</v>
      </c>
      <c r="E110" s="6">
        <f t="shared" si="8"/>
        <v>17.53202390891523</v>
      </c>
      <c r="F110" s="6">
        <f t="shared" si="9"/>
        <v>17.532023908915228</v>
      </c>
    </row>
    <row r="111" spans="2:6" ht="13.5">
      <c r="B111">
        <f t="shared" si="10"/>
        <v>10.934999999999986</v>
      </c>
      <c r="C111">
        <f t="shared" si="6"/>
        <v>0.0827368593066366</v>
      </c>
      <c r="D111">
        <f t="shared" si="7"/>
        <v>0.4154893583879544</v>
      </c>
      <c r="E111" s="6">
        <f t="shared" si="8"/>
        <v>17.518683717288866</v>
      </c>
      <c r="F111" s="6">
        <f t="shared" si="9"/>
        <v>17.51868371728887</v>
      </c>
    </row>
    <row r="112" spans="2:6" ht="13.5">
      <c r="B112">
        <f t="shared" si="10"/>
        <v>11.069999999999986</v>
      </c>
      <c r="C112">
        <f t="shared" si="6"/>
        <v>0.08248145568800573</v>
      </c>
      <c r="D112">
        <f t="shared" si="7"/>
        <v>0.41855160150206416</v>
      </c>
      <c r="E112" s="6">
        <f t="shared" si="8"/>
        <v>17.505399110978495</v>
      </c>
      <c r="F112" s="6">
        <f t="shared" si="9"/>
        <v>17.505399110978495</v>
      </c>
    </row>
    <row r="113" spans="2:6" ht="13.5">
      <c r="B113">
        <f t="shared" si="10"/>
        <v>11.204999999999986</v>
      </c>
      <c r="C113">
        <f t="shared" si="6"/>
        <v>0.0822266315158835</v>
      </c>
      <c r="D113">
        <f t="shared" si="7"/>
        <v>0.4215847303225831</v>
      </c>
      <c r="E113" s="6">
        <f t="shared" si="8"/>
        <v>17.49216816008367</v>
      </c>
      <c r="F113" s="6">
        <f t="shared" si="9"/>
        <v>17.49216816008367</v>
      </c>
    </row>
    <row r="114" spans="2:6" ht="13.5">
      <c r="B114">
        <f t="shared" si="10"/>
        <v>11.339999999999986</v>
      </c>
      <c r="C114">
        <f t="shared" si="6"/>
        <v>0.08197240157885677</v>
      </c>
      <c r="D114">
        <f t="shared" si="7"/>
        <v>0.4245891946475232</v>
      </c>
      <c r="E114" s="6">
        <f t="shared" si="8"/>
        <v>17.47898899258626</v>
      </c>
      <c r="F114" s="6">
        <f t="shared" si="9"/>
        <v>17.47898899258626</v>
      </c>
    </row>
    <row r="115" spans="2:6" ht="13.5">
      <c r="B115">
        <f t="shared" si="10"/>
        <v>11.474999999999985</v>
      </c>
      <c r="C115">
        <f t="shared" si="6"/>
        <v>0.08171877992347018</v>
      </c>
      <c r="D115">
        <f t="shared" si="7"/>
        <v>0.42756543448377377</v>
      </c>
      <c r="E115" s="6">
        <f t="shared" si="8"/>
        <v>17.465859792319456</v>
      </c>
      <c r="F115" s="6">
        <f t="shared" si="9"/>
        <v>17.465859792319453</v>
      </c>
    </row>
    <row r="116" spans="2:6" ht="13.5">
      <c r="B116">
        <f t="shared" si="10"/>
        <v>11.609999999999985</v>
      </c>
      <c r="C116">
        <f t="shared" si="6"/>
        <v>0.08146577988464197</v>
      </c>
      <c r="D116">
        <f t="shared" si="7"/>
        <v>0.43051388032626814</v>
      </c>
      <c r="E116" s="6">
        <f t="shared" si="8"/>
        <v>17.452778797021235</v>
      </c>
      <c r="F116" s="6">
        <f t="shared" si="9"/>
        <v>17.45277879702124</v>
      </c>
    </row>
    <row r="117" spans="2:6" ht="13.5">
      <c r="B117">
        <f t="shared" si="10"/>
        <v>11.744999999999985</v>
      </c>
      <c r="C117">
        <f t="shared" si="6"/>
        <v>0.08121341411475723</v>
      </c>
      <c r="D117">
        <f t="shared" si="7"/>
        <v>0.433434953427187</v>
      </c>
      <c r="E117" s="6">
        <f t="shared" si="8"/>
        <v>17.439744296468486</v>
      </c>
      <c r="F117" s="6">
        <f t="shared" si="9"/>
        <v>17.439744296468486</v>
      </c>
    </row>
    <row r="118" spans="2:6" ht="13.5">
      <c r="B118">
        <f t="shared" si="10"/>
        <v>11.879999999999985</v>
      </c>
      <c r="C118">
        <f t="shared" si="6"/>
        <v>0.08096169461150182</v>
      </c>
      <c r="D118">
        <f t="shared" si="7"/>
        <v>0.43632906605563404</v>
      </c>
      <c r="E118" s="6">
        <f t="shared" si="8"/>
        <v>17.42675463068756</v>
      </c>
      <c r="F118" s="6">
        <f t="shared" si="9"/>
        <v>17.42675463068756</v>
      </c>
    </row>
    <row r="119" spans="2:6" ht="13.5">
      <c r="B119">
        <f t="shared" si="10"/>
        <v>12.014999999999985</v>
      </c>
      <c r="C119">
        <f t="shared" si="6"/>
        <v>0.08071063274449779</v>
      </c>
      <c r="D119">
        <f t="shared" si="7"/>
        <v>0.4391966217481894</v>
      </c>
      <c r="E119" s="6">
        <f t="shared" si="8"/>
        <v>17.413808188237795</v>
      </c>
      <c r="F119" s="6">
        <f t="shared" si="9"/>
        <v>17.413808188237795</v>
      </c>
    </row>
    <row r="120" spans="2:6" ht="13.5">
      <c r="B120">
        <f t="shared" si="10"/>
        <v>12.149999999999984</v>
      </c>
      <c r="C120">
        <f t="shared" si="6"/>
        <v>0.08046023928079718</v>
      </c>
      <c r="D120">
        <f t="shared" si="7"/>
        <v>0.44203801555073097</v>
      </c>
      <c r="E120" s="6">
        <f t="shared" si="8"/>
        <v>17.400903404564396</v>
      </c>
      <c r="F120" s="6">
        <f t="shared" si="9"/>
        <v>17.4009034045644</v>
      </c>
    </row>
    <row r="121" spans="2:6" ht="13.5">
      <c r="B121">
        <f t="shared" si="10"/>
        <v>12.284999999999984</v>
      </c>
      <c r="C121">
        <f t="shared" si="6"/>
        <v>0.08021052440928858</v>
      </c>
      <c r="D121">
        <f t="shared" si="7"/>
        <v>0.44485363425188995</v>
      </c>
      <c r="E121" s="6">
        <f t="shared" si="8"/>
        <v>17.38803876041748</v>
      </c>
      <c r="F121" s="6">
        <f t="shared" si="9"/>
        <v>17.38803876041748</v>
      </c>
    </row>
    <row r="122" spans="2:6" ht="13.5">
      <c r="B122">
        <f t="shared" si="10"/>
        <v>12.419999999999984</v>
      </c>
      <c r="C122">
        <f t="shared" si="6"/>
        <v>0.07996149776406766</v>
      </c>
      <c r="D122">
        <f t="shared" si="7"/>
        <v>0.4476438566084912</v>
      </c>
      <c r="E122" s="6">
        <f t="shared" si="8"/>
        <v>17.375212780334117</v>
      </c>
      <c r="F122" s="6">
        <f t="shared" si="9"/>
        <v>17.375212780334113</v>
      </c>
    </row>
    <row r="123" spans="2:6" ht="13.5">
      <c r="B123">
        <f t="shared" si="10"/>
        <v>12.554999999999984</v>
      </c>
      <c r="C123">
        <f t="shared" si="6"/>
        <v>0.07971316844682004</v>
      </c>
      <c r="D123">
        <f t="shared" si="7"/>
        <v>0.4504090535633133</v>
      </c>
      <c r="E123" s="6">
        <f t="shared" si="8"/>
        <v>17.362424031180453</v>
      </c>
      <c r="F123" s="6">
        <f t="shared" si="9"/>
        <v>17.362424031180453</v>
      </c>
    </row>
    <row r="124" spans="2:6" ht="13.5">
      <c r="B124">
        <f t="shared" si="10"/>
        <v>12.689999999999984</v>
      </c>
      <c r="C124">
        <f t="shared" si="6"/>
        <v>0.07946554504826277</v>
      </c>
      <c r="D124">
        <f t="shared" si="7"/>
        <v>0.4531495884554816</v>
      </c>
      <c r="E124" s="6">
        <f t="shared" si="8"/>
        <v>17.349671120751143</v>
      </c>
      <c r="F124" s="6">
        <f t="shared" si="9"/>
        <v>17.349671120751147</v>
      </c>
    </row>
    <row r="125" spans="2:6" ht="13.5">
      <c r="B125">
        <f t="shared" si="10"/>
        <v>12.824999999999983</v>
      </c>
      <c r="C125">
        <f t="shared" si="6"/>
        <v>0.07921863566868793</v>
      </c>
      <c r="D125">
        <f t="shared" si="7"/>
        <v>0.45586581722379743</v>
      </c>
      <c r="E125" s="6">
        <f t="shared" si="8"/>
        <v>17.336952696423424</v>
      </c>
      <c r="F125" s="6">
        <f t="shared" si="9"/>
        <v>17.336952696423428</v>
      </c>
    </row>
    <row r="126" spans="2:6" ht="13.5">
      <c r="B126">
        <f t="shared" si="10"/>
        <v>12.959999999999983</v>
      </c>
      <c r="C126">
        <f t="shared" si="6"/>
        <v>0.07897244793764982</v>
      </c>
      <c r="D126">
        <f t="shared" si="7"/>
        <v>0.458558088603289</v>
      </c>
      <c r="E126" s="6">
        <f t="shared" si="8"/>
        <v>17.324267443863395</v>
      </c>
      <c r="F126" s="6">
        <f t="shared" si="9"/>
        <v>17.324267443863395</v>
      </c>
    </row>
    <row r="127" spans="2:6" ht="13.5">
      <c r="B127">
        <f aca="true" t="shared" si="11" ref="B127:B158">B126+$F$8/$B$26</f>
        <v>13.094999999999983</v>
      </c>
      <c r="C127">
        <f t="shared" si="6"/>
        <v>0.07872698903283483</v>
      </c>
      <c r="D127">
        <f t="shared" si="7"/>
        <v>0.46122674431525734</v>
      </c>
      <c r="E127" s="6">
        <f t="shared" si="8"/>
        <v>17.311614085782068</v>
      </c>
      <c r="F127" s="6">
        <f t="shared" si="9"/>
        <v>17.31161408578207</v>
      </c>
    </row>
    <row r="128" spans="2:6" ht="13.5">
      <c r="B128">
        <f t="shared" si="11"/>
        <v>13.229999999999983</v>
      </c>
      <c r="C128">
        <f t="shared" si="6"/>
        <v>0.07848226569815145</v>
      </c>
      <c r="D128">
        <f t="shared" si="7"/>
        <v>0.46387211925107713</v>
      </c>
      <c r="E128" s="6">
        <f t="shared" si="8"/>
        <v>17.29899138073908</v>
      </c>
      <c r="F128" s="6">
        <f t="shared" si="9"/>
        <v>17.298991380739082</v>
      </c>
    </row>
    <row r="129" spans="2:6" ht="13.5">
      <c r="B129">
        <f t="shared" si="11"/>
        <v>13.364999999999982</v>
      </c>
      <c r="C129">
        <f t="shared" si="6"/>
        <v>0.07823828426107571</v>
      </c>
      <c r="D129">
        <f t="shared" si="7"/>
        <v>0.4664945416499994</v>
      </c>
      <c r="E129" s="6">
        <f t="shared" si="8"/>
        <v>17.28639812199174</v>
      </c>
      <c r="F129" s="6">
        <f t="shared" si="9"/>
        <v>17.286398121991738</v>
      </c>
    </row>
    <row r="130" spans="2:6" ht="13.5">
      <c r="B130">
        <f t="shared" si="11"/>
        <v>13.499999999999982</v>
      </c>
      <c r="C130">
        <f t="shared" si="6"/>
        <v>0.0779950506492856</v>
      </c>
      <c r="D130">
        <f t="shared" si="7"/>
        <v>0.46909433327119193</v>
      </c>
      <c r="E130" s="6">
        <f t="shared" si="8"/>
        <v>17.27383313638765</v>
      </c>
      <c r="F130" s="6">
        <f t="shared" si="9"/>
        <v>17.27383313638765</v>
      </c>
    </row>
    <row r="131" spans="2:6" ht="13.5">
      <c r="B131">
        <f t="shared" si="11"/>
        <v>13.634999999999982</v>
      </c>
      <c r="C131">
        <f t="shared" si="6"/>
        <v>0.07775257040661614</v>
      </c>
      <c r="D131">
        <f t="shared" si="7"/>
        <v>0.4716718095602478</v>
      </c>
      <c r="E131" s="6">
        <f t="shared" si="8"/>
        <v>17.26129528329868</v>
      </c>
      <c r="F131" s="6">
        <f t="shared" si="9"/>
        <v>17.261295283298683</v>
      </c>
    </row>
    <row r="132" spans="2:6" ht="13.5">
      <c r="B132">
        <f t="shared" si="11"/>
        <v>13.769999999999982</v>
      </c>
      <c r="C132">
        <f t="shared" si="6"/>
        <v>0.07751084870836622</v>
      </c>
      <c r="D132">
        <f t="shared" si="7"/>
        <v>0.47422727981036455</v>
      </c>
      <c r="E132" s="6">
        <f t="shared" si="8"/>
        <v>17.24878345359488</v>
      </c>
      <c r="F132" s="6">
        <f t="shared" si="9"/>
        <v>17.24878345359488</v>
      </c>
    </row>
    <row r="133" spans="2:6" ht="13.5">
      <c r="B133">
        <f t="shared" si="11"/>
        <v>13.904999999999982</v>
      </c>
      <c r="C133">
        <f t="shared" si="6"/>
        <v>0.07726989037598489</v>
      </c>
      <c r="D133">
        <f t="shared" si="7"/>
        <v>0.4767610473184142</v>
      </c>
      <c r="E133" s="6">
        <f t="shared" si="8"/>
        <v>17.236296568656165</v>
      </c>
      <c r="F133" s="6">
        <f t="shared" si="9"/>
        <v>17.23629656865616</v>
      </c>
    </row>
    <row r="134" spans="2:6" ht="13.5">
      <c r="B134">
        <f t="shared" si="11"/>
        <v>14.039999999999981</v>
      </c>
      <c r="C134">
        <f t="shared" si="6"/>
        <v>0.07702969989116558</v>
      </c>
      <c r="D134">
        <f t="shared" si="7"/>
        <v>0.47927340953608544</v>
      </c>
      <c r="E134" s="6">
        <f t="shared" si="8"/>
        <v>17.223833579420564</v>
      </c>
      <c r="F134" s="6">
        <f t="shared" si="9"/>
        <v>17.223833579420564</v>
      </c>
    </row>
    <row r="135" spans="2:6" ht="13.5">
      <c r="B135">
        <f t="shared" si="11"/>
        <v>14.174999999999981</v>
      </c>
      <c r="C135">
        <f t="shared" si="6"/>
        <v>0.07679028140937327</v>
      </c>
      <c r="D135">
        <f t="shared" si="7"/>
        <v>0.4817646582162989</v>
      </c>
      <c r="E135" s="6">
        <f t="shared" si="8"/>
        <v>17.211393465467072</v>
      </c>
      <c r="F135" s="6">
        <f t="shared" si="9"/>
        <v>17.211393465467076</v>
      </c>
    </row>
    <row r="136" spans="2:6" ht="13.5">
      <c r="B136">
        <f t="shared" si="11"/>
        <v>14.309999999999981</v>
      </c>
      <c r="C136">
        <f t="shared" si="6"/>
        <v>0.07655163877283029</v>
      </c>
      <c r="D136">
        <f t="shared" si="7"/>
        <v>0.4842350795550619</v>
      </c>
      <c r="E136" s="6">
        <f t="shared" si="8"/>
        <v>17.19897523413194</v>
      </c>
      <c r="F136" s="6">
        <f t="shared" si="9"/>
        <v>17.19897523413194</v>
      </c>
    </row>
    <row r="137" spans="2:6" ht="13.5">
      <c r="B137">
        <f t="shared" si="11"/>
        <v>14.44499999999998</v>
      </c>
      <c r="C137">
        <f t="shared" si="6"/>
        <v>0.07631377552298409</v>
      </c>
      <c r="D137">
        <f t="shared" si="7"/>
        <v>0.4866849543289367</v>
      </c>
      <c r="E137" s="6">
        <f t="shared" si="8"/>
        <v>17.18657791965691</v>
      </c>
      <c r="F137" s="6">
        <f t="shared" si="9"/>
        <v>17.18657791965691</v>
      </c>
    </row>
    <row r="138" spans="2:6" ht="13.5">
      <c r="B138">
        <f t="shared" si="11"/>
        <v>14.57999999999998</v>
      </c>
      <c r="C138">
        <f t="shared" si="6"/>
        <v>0.07607669491247875</v>
      </c>
      <c r="D138">
        <f t="shared" si="7"/>
        <v>0.48911455802829323</v>
      </c>
      <c r="E138" s="6">
        <f t="shared" si="8"/>
        <v>17.174200582367895</v>
      </c>
      <c r="F138" s="6">
        <f t="shared" si="9"/>
        <v>17.1742005823679</v>
      </c>
    </row>
    <row r="139" spans="2:6" ht="13.5">
      <c r="B139">
        <f t="shared" si="11"/>
        <v>14.71499999999998</v>
      </c>
      <c r="C139">
        <f t="shared" si="6"/>
        <v>0.07584039991665259</v>
      </c>
      <c r="D139">
        <f t="shared" si="7"/>
        <v>0.49152416098649127</v>
      </c>
      <c r="E139" s="6">
        <f t="shared" si="8"/>
        <v>17.16184230788304</v>
      </c>
      <c r="F139" s="6">
        <f t="shared" si="9"/>
        <v>17.161842307883038</v>
      </c>
    </row>
    <row r="140" spans="2:6" ht="13.5">
      <c r="B140">
        <f t="shared" si="11"/>
        <v>14.84999999999998</v>
      </c>
      <c r="C140">
        <f t="shared" si="6"/>
        <v>0.07560489324458187</v>
      </c>
      <c r="D140">
        <f t="shared" si="7"/>
        <v>0.4939140285051451</v>
      </c>
      <c r="E140" s="6">
        <f t="shared" si="8"/>
        <v>17.149502206348906</v>
      </c>
      <c r="F140" s="6">
        <f t="shared" si="9"/>
        <v>17.149502206348906</v>
      </c>
    </row>
    <row r="141" spans="2:6" ht="13.5">
      <c r="B141">
        <f t="shared" si="11"/>
        <v>14.98499999999998</v>
      </c>
      <c r="C141">
        <f t="shared" si="6"/>
        <v>0.07537017734968954</v>
      </c>
      <c r="D141">
        <f t="shared" si="7"/>
        <v>0.49628442097561826</v>
      </c>
      <c r="E141" s="6">
        <f t="shared" si="8"/>
        <v>17.137179411703492</v>
      </c>
      <c r="F141" s="6">
        <f t="shared" si="9"/>
        <v>17.137179411703485</v>
      </c>
    </row>
    <row r="142" spans="2:6" ht="13.5">
      <c r="B142">
        <f t="shared" si="11"/>
        <v>15.11999999999998</v>
      </c>
      <c r="C142">
        <f t="shared" si="6"/>
        <v>0.07513625443993827</v>
      </c>
      <c r="D142">
        <f t="shared" si="7"/>
        <v>0.498635593996876</v>
      </c>
      <c r="E142" s="6">
        <f t="shared" si="8"/>
        <v>17.124873080965166</v>
      </c>
      <c r="F142" s="6">
        <f t="shared" si="9"/>
        <v>17.124873080965163</v>
      </c>
    </row>
    <row r="143" spans="2:6" ht="13.5">
      <c r="B143">
        <f t="shared" si="11"/>
        <v>15.25499999999998</v>
      </c>
      <c r="C143">
        <f t="shared" si="6"/>
        <v>0.0749031264876246</v>
      </c>
      <c r="D143">
        <f t="shared" si="7"/>
        <v>0.5009677984898372</v>
      </c>
      <c r="E143" s="6">
        <f t="shared" si="8"/>
        <v>17.112582393546298</v>
      </c>
      <c r="F143" s="6">
        <f t="shared" si="9"/>
        <v>17.112582393546298</v>
      </c>
    </row>
    <row r="144" spans="2:6" ht="13.5">
      <c r="B144">
        <f t="shared" si="11"/>
        <v>15.38999999999998</v>
      </c>
      <c r="C144">
        <f t="shared" si="6"/>
        <v>0.07467079523879175</v>
      </c>
      <c r="D144">
        <f t="shared" si="7"/>
        <v>0.5032812808083394</v>
      </c>
      <c r="E144" s="6">
        <f t="shared" si="8"/>
        <v>17.100306550590762</v>
      </c>
      <c r="F144" s="6">
        <f t="shared" si="9"/>
        <v>17.10030655059076</v>
      </c>
    </row>
    <row r="145" spans="2:6" ht="13.5">
      <c r="B145">
        <f t="shared" si="11"/>
        <v>15.524999999999979</v>
      </c>
      <c r="C145">
        <f t="shared" si="6"/>
        <v>0.07443926222227648</v>
      </c>
      <c r="D145">
        <f t="shared" si="7"/>
        <v>0.5055762828468472</v>
      </c>
      <c r="E145" s="6">
        <f t="shared" si="8"/>
        <v>17.088044774334136</v>
      </c>
      <c r="F145" s="6">
        <f t="shared" si="9"/>
        <v>17.088044774334136</v>
      </c>
    </row>
    <row r="146" spans="2:6" ht="13.5">
      <c r="B146">
        <f t="shared" si="11"/>
        <v>15.659999999999979</v>
      </c>
      <c r="C146">
        <f t="shared" si="6"/>
        <v>0.07420852875840582</v>
      </c>
      <c r="D146">
        <f t="shared" si="7"/>
        <v>0.5078530421450106</v>
      </c>
      <c r="E146" s="6">
        <f t="shared" si="8"/>
        <v>17.075796307486005</v>
      </c>
      <c r="F146" s="6">
        <f t="shared" si="9"/>
        <v>17.075796307486005</v>
      </c>
    </row>
    <row r="147" spans="2:6" ht="13.5">
      <c r="B147">
        <f t="shared" si="11"/>
        <v>15.794999999999979</v>
      </c>
      <c r="C147">
        <f t="shared" si="6"/>
        <v>0.07397859596735752</v>
      </c>
      <c r="D147">
        <f t="shared" si="7"/>
        <v>0.5101117919891921</v>
      </c>
      <c r="E147" s="6">
        <f t="shared" si="8"/>
        <v>17.06356041263308</v>
      </c>
      <c r="F147" s="6">
        <f t="shared" si="9"/>
        <v>17.06356041263308</v>
      </c>
    </row>
    <row r="148" spans="2:6" ht="13.5">
      <c r="B148">
        <f t="shared" si="11"/>
        <v>15.929999999999978</v>
      </c>
      <c r="C148">
        <f t="shared" si="6"/>
        <v>0.07374946477719893</v>
      </c>
      <c r="D148">
        <f t="shared" si="7"/>
        <v>0.5123527615110616</v>
      </c>
      <c r="E148" s="6">
        <f t="shared" si="8"/>
        <v>17.051336371662668</v>
      </c>
      <c r="F148" s="6">
        <f t="shared" si="9"/>
        <v>17.051336371662668</v>
      </c>
    </row>
    <row r="149" spans="2:6" ht="13.5">
      <c r="B149">
        <f t="shared" si="11"/>
        <v>16.06499999999998</v>
      </c>
      <c r="C149">
        <f t="shared" si="6"/>
        <v>0.07352113593161719</v>
      </c>
      <c r="D149">
        <f t="shared" si="7"/>
        <v>0.5145761757833608</v>
      </c>
      <c r="E149" s="6">
        <f t="shared" si="8"/>
        <v>17.039123485205597</v>
      </c>
      <c r="F149" s="6">
        <f t="shared" si="9"/>
        <v>17.039123485205593</v>
      </c>
    </row>
    <row r="150" spans="2:6" ht="13.5">
      <c r="B150">
        <f t="shared" si="11"/>
        <v>16.19999999999998</v>
      </c>
      <c r="C150">
        <f t="shared" si="6"/>
        <v>0.0732936099973532</v>
      </c>
      <c r="D150">
        <f t="shared" si="7"/>
        <v>0.5167822559129407</v>
      </c>
      <c r="E150" s="6">
        <f t="shared" si="8"/>
        <v>17.026921072097675</v>
      </c>
      <c r="F150" s="6">
        <f t="shared" si="9"/>
        <v>17.02692107209767</v>
      </c>
    </row>
    <row r="151" spans="2:6" ht="13.5">
      <c r="B151">
        <f t="shared" si="11"/>
        <v>16.334999999999983</v>
      </c>
      <c r="C151">
        <f t="shared" si="6"/>
        <v>0.07306688737135192</v>
      </c>
      <c r="D151">
        <f t="shared" si="7"/>
        <v>0.5189712191311584</v>
      </c>
      <c r="E151" s="6">
        <f t="shared" si="8"/>
        <v>17.014728468859193</v>
      </c>
      <c r="F151" s="6">
        <f t="shared" si="9"/>
        <v>17.014728468859197</v>
      </c>
    </row>
    <row r="152" spans="2:6" ht="13.5">
      <c r="B152">
        <f t="shared" si="11"/>
        <v>16.469999999999985</v>
      </c>
      <c r="C152">
        <f t="shared" si="6"/>
        <v>0.07284096828764017</v>
      </c>
      <c r="D152">
        <f t="shared" si="7"/>
        <v>0.5211432788817278</v>
      </c>
      <c r="E152" s="6">
        <f t="shared" si="8"/>
        <v>17.00254502919163</v>
      </c>
      <c r="F152" s="6">
        <f t="shared" si="9"/>
        <v>17.00254502919163</v>
      </c>
    </row>
    <row r="153" spans="2:6" ht="13.5">
      <c r="B153">
        <f t="shared" si="11"/>
        <v>16.604999999999986</v>
      </c>
      <c r="C153">
        <f t="shared" si="6"/>
        <v>0.07261585282394328</v>
      </c>
      <c r="D153">
        <f t="shared" si="7"/>
        <v>0.5232986449061063</v>
      </c>
      <c r="E153" s="6">
        <f t="shared" si="8"/>
        <v>16.99037012349097</v>
      </c>
      <c r="F153" s="6">
        <f t="shared" si="9"/>
        <v>16.990370123490973</v>
      </c>
    </row>
    <row r="154" spans="2:6" ht="13.5">
      <c r="B154">
        <f t="shared" si="11"/>
        <v>16.739999999999988</v>
      </c>
      <c r="C154">
        <f t="shared" si="6"/>
        <v>0.07239154090805104</v>
      </c>
      <c r="D154">
        <f t="shared" si="7"/>
        <v>0.5254375233265032</v>
      </c>
      <c r="E154" s="6">
        <f t="shared" si="8"/>
        <v>16.978203138376976</v>
      </c>
      <c r="F154" s="6">
        <f t="shared" si="9"/>
        <v>16.978203138376976</v>
      </c>
    </row>
    <row r="155" spans="2:6" ht="13.5">
      <c r="B155">
        <f t="shared" si="11"/>
        <v>16.87499999999999</v>
      </c>
      <c r="C155">
        <f t="shared" si="6"/>
        <v>0.07216803232394277</v>
      </c>
      <c r="D155">
        <f t="shared" si="7"/>
        <v>0.5275601167265891</v>
      </c>
      <c r="E155" s="6">
        <f t="shared" si="8"/>
        <v>16.96604347623779</v>
      </c>
      <c r="F155" s="6">
        <f t="shared" si="9"/>
        <v>16.96604347623779</v>
      </c>
    </row>
    <row r="156" spans="2:6" ht="13.5">
      <c r="B156">
        <f t="shared" si="11"/>
        <v>17.00999999999999</v>
      </c>
      <c r="C156">
        <f t="shared" si="6"/>
        <v>0.07194532671768163</v>
      </c>
      <c r="D156">
        <f t="shared" si="7"/>
        <v>0.5296666242299809</v>
      </c>
      <c r="E156" s="6">
        <f t="shared" si="8"/>
        <v>16.95389055478934</v>
      </c>
      <c r="F156" s="6">
        <f t="shared" si="9"/>
        <v>16.953890554789343</v>
      </c>
    </row>
    <row r="157" spans="2:6" ht="13.5">
      <c r="B157">
        <f t="shared" si="11"/>
        <v>17.144999999999992</v>
      </c>
      <c r="C157">
        <f t="shared" si="6"/>
        <v>0.07172342360308699</v>
      </c>
      <c r="D157">
        <f t="shared" si="7"/>
        <v>0.531757241576577</v>
      </c>
      <c r="E157" s="6">
        <f t="shared" si="8"/>
        <v>16.94174380664895</v>
      </c>
      <c r="F157" s="6">
        <f t="shared" si="9"/>
        <v>16.94174380664895</v>
      </c>
    </row>
    <row r="158" spans="2:6" ht="13.5">
      <c r="B158">
        <f t="shared" si="11"/>
        <v>17.279999999999994</v>
      </c>
      <c r="C158">
        <f aca="true" t="shared" si="12" ref="C158:C221">IF(B158=0,$A$3,($A$8*($A$6+B158)^$A$9+$A$10-$A$2*B158)/($A$5*B158+$D$11/$A$3))</f>
        <v>0.07150232236719418</v>
      </c>
      <c r="D158">
        <f aca="true" t="shared" si="13" ref="D158:D221">IF(C158&gt;=$A$3,0,($A$4-$A$3+(($A$4-$A$3)^2+4*$A$4*($A$3-C158))^0.5)/(2*$A$4))</f>
        <v>0.5338321611968112</v>
      </c>
      <c r="E158" s="6">
        <f aca="true" t="shared" si="14" ref="E158:E221">(($A$8*($A$6+B158)^$A$9+$A$10)-$A$2*B158)/($A$3+$A$4*D158)</f>
        <v>16.92960267892269</v>
      </c>
      <c r="F158" s="6">
        <f aca="true" t="shared" si="15" ref="F158:F221">(1-D158)*($A$5*B158+$D$11/$A$3)</f>
        <v>16.92960267892269</v>
      </c>
    </row>
    <row r="159" spans="2:6" ht="13.5">
      <c r="B159">
        <f aca="true" t="shared" si="16" ref="B159:B190">B158+$F$8/$B$26</f>
        <v>17.414999999999996</v>
      </c>
      <c r="C159">
        <f t="shared" si="12"/>
        <v>0.07128202227550912</v>
      </c>
      <c r="D159">
        <f t="shared" si="13"/>
        <v>0.5358915722838986</v>
      </c>
      <c r="E159" s="6">
        <f t="shared" si="14"/>
        <v>16.917466632805805</v>
      </c>
      <c r="F159" s="6">
        <f t="shared" si="15"/>
        <v>16.917466632805805</v>
      </c>
    </row>
    <row r="160" spans="2:6" ht="13.5">
      <c r="B160">
        <f t="shared" si="16"/>
        <v>17.549999999999997</v>
      </c>
      <c r="C160">
        <f t="shared" si="12"/>
        <v>0.07106252247706706</v>
      </c>
      <c r="D160">
        <f t="shared" si="13"/>
        <v>0.5379356608641311</v>
      </c>
      <c r="E160" s="6">
        <f t="shared" si="14"/>
        <v>16.90533514319596</v>
      </c>
      <c r="F160" s="6">
        <f t="shared" si="15"/>
        <v>16.90533514319596</v>
      </c>
    </row>
    <row r="161" spans="2:6" ht="13.5">
      <c r="B161">
        <f t="shared" si="16"/>
        <v>17.685</v>
      </c>
      <c r="C161">
        <f t="shared" si="12"/>
        <v>0.07084382200930231</v>
      </c>
      <c r="D161">
        <f t="shared" si="13"/>
        <v>0.5399646098652919</v>
      </c>
      <c r="E161" s="6">
        <f t="shared" si="14"/>
        <v>16.89320769831864</v>
      </c>
      <c r="F161" s="6">
        <f t="shared" si="15"/>
        <v>16.89320769831864</v>
      </c>
    </row>
    <row r="162" spans="2:6" ht="13.5">
      <c r="B162">
        <f t="shared" si="16"/>
        <v>17.82</v>
      </c>
      <c r="C162">
        <f t="shared" si="12"/>
        <v>0.07062591980273679</v>
      </c>
      <c r="D162">
        <f t="shared" si="13"/>
        <v>0.5419785991832446</v>
      </c>
      <c r="E162" s="6">
        <f t="shared" si="14"/>
        <v>16.881083799364387</v>
      </c>
      <c r="F162" s="6">
        <f t="shared" si="15"/>
        <v>16.881083799364387</v>
      </c>
    </row>
    <row r="163" spans="2:6" ht="13.5">
      <c r="B163">
        <f t="shared" si="16"/>
        <v>17.955000000000002</v>
      </c>
      <c r="C163">
        <f t="shared" si="12"/>
        <v>0.0704088146854943</v>
      </c>
      <c r="D163">
        <f t="shared" si="13"/>
        <v>0.5439778057467575</v>
      </c>
      <c r="E163" s="6">
        <f t="shared" si="14"/>
        <v>16.868962960137395</v>
      </c>
      <c r="F163" s="6">
        <f t="shared" si="15"/>
        <v>16.8689629601374</v>
      </c>
    </row>
    <row r="164" spans="2:6" ht="13.5">
      <c r="B164">
        <f t="shared" si="16"/>
        <v>18.090000000000003</v>
      </c>
      <c r="C164">
        <f t="shared" si="12"/>
        <v>0.07019250538764714</v>
      </c>
      <c r="D164">
        <f t="shared" si="13"/>
        <v>0.5459624035806208</v>
      </c>
      <c r="E164" s="6">
        <f t="shared" si="14"/>
        <v>16.856844706714988</v>
      </c>
      <c r="F164" s="6">
        <f t="shared" si="15"/>
        <v>16.856844706714988</v>
      </c>
    </row>
    <row r="165" spans="2:6" ht="13.5">
      <c r="B165">
        <f t="shared" si="16"/>
        <v>18.225000000000005</v>
      </c>
      <c r="C165">
        <f t="shared" si="12"/>
        <v>0.06997699054540205</v>
      </c>
      <c r="D165">
        <f t="shared" si="13"/>
        <v>0.5479325638671054</v>
      </c>
      <c r="E165" s="6">
        <f t="shared" si="14"/>
        <v>16.844728577117742</v>
      </c>
      <c r="F165" s="6">
        <f t="shared" si="15"/>
        <v>16.844728577117742</v>
      </c>
    </row>
    <row r="166" spans="2:6" ht="13.5">
      <c r="B166">
        <f t="shared" si="16"/>
        <v>18.360000000000007</v>
      </c>
      <c r="C166">
        <f t="shared" si="12"/>
        <v>0.06976226870513134</v>
      </c>
      <c r="D166">
        <f t="shared" si="13"/>
        <v>0.549888455005819</v>
      </c>
      <c r="E166" s="6">
        <f t="shared" si="14"/>
        <v>16.832614120989792</v>
      </c>
      <c r="F166" s="6">
        <f t="shared" si="15"/>
        <v>16.832614120989792</v>
      </c>
    </row>
    <row r="167" spans="2:6" ht="13.5">
      <c r="B167">
        <f t="shared" si="16"/>
        <v>18.495000000000008</v>
      </c>
      <c r="C167">
        <f t="shared" si="12"/>
        <v>0.06954833832725506</v>
      </c>
      <c r="D167">
        <f t="shared" si="13"/>
        <v>0.55183024267201</v>
      </c>
      <c r="E167" s="6">
        <f t="shared" si="14"/>
        <v>16.820500899288852</v>
      </c>
      <c r="F167" s="6">
        <f t="shared" si="15"/>
        <v>16.820500899288856</v>
      </c>
    </row>
    <row r="168" spans="2:6" ht="13.5">
      <c r="B168">
        <f t="shared" si="16"/>
        <v>18.63000000000001</v>
      </c>
      <c r="C168">
        <f t="shared" si="12"/>
        <v>0.06933519778998011</v>
      </c>
      <c r="D168">
        <f t="shared" si="13"/>
        <v>0.553758089873366</v>
      </c>
      <c r="E168" s="6">
        <f t="shared" si="14"/>
        <v>16.808388483985834</v>
      </c>
      <c r="F168" s="6">
        <f t="shared" si="15"/>
        <v>16.80838848398583</v>
      </c>
    </row>
    <row r="169" spans="2:6" ht="13.5">
      <c r="B169">
        <f t="shared" si="16"/>
        <v>18.76500000000001</v>
      </c>
      <c r="C169">
        <f t="shared" si="12"/>
        <v>0.06912284539290203</v>
      </c>
      <c r="D169">
        <f t="shared" si="13"/>
        <v>0.5556721570053512</v>
      </c>
      <c r="E169" s="6">
        <f t="shared" si="14"/>
        <v>16.796276457773526</v>
      </c>
      <c r="F169" s="6">
        <f t="shared" si="15"/>
        <v>16.796276457773526</v>
      </c>
    </row>
    <row r="170" spans="2:6" ht="13.5">
      <c r="B170">
        <f t="shared" si="16"/>
        <v>18.900000000000013</v>
      </c>
      <c r="C170">
        <f t="shared" si="12"/>
        <v>0.06891127936047413</v>
      </c>
      <c r="D170">
        <f t="shared" si="13"/>
        <v>0.5575726019051319</v>
      </c>
      <c r="E170" s="6">
        <f t="shared" si="14"/>
        <v>16.78416441378415</v>
      </c>
      <c r="F170" s="6">
        <f t="shared" si="15"/>
        <v>16.78416441378415</v>
      </c>
    </row>
    <row r="171" spans="2:6" ht="13.5">
      <c r="B171">
        <f t="shared" si="16"/>
        <v>19.035000000000014</v>
      </c>
      <c r="C171">
        <f t="shared" si="12"/>
        <v>0.06870049784534935</v>
      </c>
      <c r="D171">
        <f t="shared" si="13"/>
        <v>0.5594595799041309</v>
      </c>
      <c r="E171" s="6">
        <f t="shared" si="14"/>
        <v>16.772051955315362</v>
      </c>
      <c r="F171" s="6">
        <f t="shared" si="15"/>
        <v>16.772051955315366</v>
      </c>
    </row>
    <row r="172" spans="2:6" ht="13.5">
      <c r="B172">
        <f t="shared" si="16"/>
        <v>19.170000000000016</v>
      </c>
      <c r="C172">
        <f t="shared" si="12"/>
        <v>0.06849049893159974</v>
      </c>
      <c r="D172">
        <f t="shared" si="13"/>
        <v>0.561333243879251</v>
      </c>
      <c r="E172" s="6">
        <f t="shared" si="14"/>
        <v>16.759938695564582</v>
      </c>
      <c r="F172" s="6">
        <f t="shared" si="15"/>
        <v>16.75993869556458</v>
      </c>
    </row>
    <row r="173" spans="2:6" ht="13.5">
      <c r="B173">
        <f t="shared" si="16"/>
        <v>19.305000000000017</v>
      </c>
      <c r="C173">
        <f t="shared" si="12"/>
        <v>0.06828128063781787</v>
      </c>
      <c r="D173">
        <f t="shared" si="13"/>
        <v>0.5631937443028121</v>
      </c>
      <c r="E173" s="6">
        <f t="shared" si="14"/>
        <v>16.74782425737109</v>
      </c>
      <c r="F173" s="6">
        <f t="shared" si="15"/>
        <v>16.74782425737109</v>
      </c>
    </row>
    <row r="174" spans="2:6" ht="13.5">
      <c r="B174">
        <f t="shared" si="16"/>
        <v>19.44000000000002</v>
      </c>
      <c r="C174">
        <f t="shared" si="12"/>
        <v>0.06807284092010506</v>
      </c>
      <c r="D174">
        <f t="shared" si="13"/>
        <v>0.5650412292912346</v>
      </c>
      <c r="E174" s="6">
        <f t="shared" si="14"/>
        <v>16.735708272965994</v>
      </c>
      <c r="F174" s="6">
        <f t="shared" si="15"/>
        <v>16.73570827296599</v>
      </c>
    </row>
    <row r="175" spans="2:6" ht="13.5">
      <c r="B175">
        <f t="shared" si="16"/>
        <v>19.57500000000002</v>
      </c>
      <c r="C175">
        <f t="shared" si="12"/>
        <v>0.06786517767495014</v>
      </c>
      <c r="D175">
        <f t="shared" si="13"/>
        <v>0.5668758446525118</v>
      </c>
      <c r="E175" s="6">
        <f t="shared" si="14"/>
        <v>16.72359038372943</v>
      </c>
      <c r="F175" s="6">
        <f t="shared" si="15"/>
        <v>16.72359038372943</v>
      </c>
    </row>
    <row r="176" spans="2:6" ht="13.5">
      <c r="B176">
        <f t="shared" si="16"/>
        <v>19.710000000000022</v>
      </c>
      <c r="C176">
        <f t="shared" si="12"/>
        <v>0.06765828874200333</v>
      </c>
      <c r="D176">
        <f t="shared" si="13"/>
        <v>0.5686977339325054</v>
      </c>
      <c r="E176" s="6">
        <f t="shared" si="14"/>
        <v>16.711470239955023</v>
      </c>
      <c r="F176" s="6">
        <f t="shared" si="15"/>
        <v>16.711470239955023</v>
      </c>
    </row>
    <row r="177" spans="2:6" ht="13.5">
      <c r="B177">
        <f t="shared" si="16"/>
        <v>19.845000000000024</v>
      </c>
      <c r="C177">
        <f t="shared" si="12"/>
        <v>0.0674521719067488</v>
      </c>
      <c r="D177">
        <f t="shared" si="13"/>
        <v>0.5705070384600982</v>
      </c>
      <c r="E177" s="6">
        <f t="shared" si="14"/>
        <v>16.699347500621176</v>
      </c>
      <c r="F177" s="6">
        <f t="shared" si="15"/>
        <v>16.699347500621176</v>
      </c>
    </row>
    <row r="178" spans="2:6" ht="13.5">
      <c r="B178">
        <f t="shared" si="16"/>
        <v>19.980000000000025</v>
      </c>
      <c r="C178">
        <f t="shared" si="12"/>
        <v>0.06724682490308</v>
      </c>
      <c r="D178">
        <f t="shared" si="13"/>
        <v>0.5723038973912374</v>
      </c>
      <c r="E178" s="6">
        <f t="shared" si="14"/>
        <v>16.6872218331691</v>
      </c>
      <c r="F178" s="6">
        <f t="shared" si="15"/>
        <v>16.6872218331691</v>
      </c>
    </row>
    <row r="179" spans="2:6" ht="13.5">
      <c r="B179">
        <f t="shared" si="16"/>
        <v>20.115000000000027</v>
      </c>
      <c r="C179">
        <f t="shared" si="12"/>
        <v>0.06704224541578092</v>
      </c>
      <c r="D179">
        <f t="shared" si="13"/>
        <v>0.5740884477519042</v>
      </c>
      <c r="E179" s="6">
        <f t="shared" si="14"/>
        <v>16.675092913287273</v>
      </c>
      <c r="F179" s="6">
        <f t="shared" si="15"/>
        <v>16.675092913287273</v>
      </c>
    </row>
    <row r="180" spans="2:6" ht="13.5">
      <c r="B180">
        <f t="shared" si="16"/>
        <v>20.25000000000003</v>
      </c>
      <c r="C180">
        <f t="shared" si="12"/>
        <v>0.06683843108291737</v>
      </c>
      <c r="D180">
        <f t="shared" si="13"/>
        <v>0.5758608244800355</v>
      </c>
      <c r="E180" s="6">
        <f t="shared" si="14"/>
        <v>16.66296042470215</v>
      </c>
      <c r="F180" s="6">
        <f t="shared" si="15"/>
        <v>16.66296042470215</v>
      </c>
    </row>
    <row r="181" spans="2:6" ht="13.5">
      <c r="B181">
        <f t="shared" si="16"/>
        <v>20.38500000000003</v>
      </c>
      <c r="C181">
        <f t="shared" si="12"/>
        <v>0.06663537949814088</v>
      </c>
      <c r="D181">
        <f t="shared" si="13"/>
        <v>0.5776211604664352</v>
      </c>
      <c r="E181" s="6">
        <f t="shared" si="14"/>
        <v>16.65082405897486</v>
      </c>
      <c r="F181" s="6">
        <f t="shared" si="15"/>
        <v>16.65082405897486</v>
      </c>
    </row>
    <row r="182" spans="2:6" ht="13.5">
      <c r="B182">
        <f t="shared" si="16"/>
        <v>20.52000000000003</v>
      </c>
      <c r="C182">
        <f t="shared" si="12"/>
        <v>0.06643308821290918</v>
      </c>
      <c r="D182">
        <f t="shared" si="13"/>
        <v>0.5793695865946954</v>
      </c>
      <c r="E182" s="6">
        <f t="shared" si="14"/>
        <v>16.63868351530383</v>
      </c>
      <c r="F182" s="6">
        <f t="shared" si="15"/>
        <v>16.63868351530383</v>
      </c>
    </row>
    <row r="183" spans="2:6" ht="13.5">
      <c r="B183">
        <f t="shared" si="16"/>
        <v>20.655000000000033</v>
      </c>
      <c r="C183">
        <f t="shared" si="12"/>
        <v>0.06623155473862566</v>
      </c>
      <c r="D183">
        <f t="shared" si="13"/>
        <v>0.5811062317801655</v>
      </c>
      <c r="E183" s="6">
        <f t="shared" si="14"/>
        <v>16.626538500332938</v>
      </c>
      <c r="F183" s="6">
        <f t="shared" si="15"/>
        <v>16.626538500332938</v>
      </c>
    </row>
    <row r="184" spans="2:6" ht="13.5">
      <c r="B184">
        <f t="shared" si="16"/>
        <v>20.790000000000035</v>
      </c>
      <c r="C184">
        <f t="shared" si="12"/>
        <v>0.06603077654870122</v>
      </c>
      <c r="D184">
        <f t="shared" si="13"/>
        <v>0.5828312230079887</v>
      </c>
      <c r="E184" s="6">
        <f t="shared" si="14"/>
        <v>16.614388727965213</v>
      </c>
      <c r="F184" s="6">
        <f t="shared" si="15"/>
        <v>16.61438872796521</v>
      </c>
    </row>
    <row r="185" spans="2:6" ht="13.5">
      <c r="B185">
        <f t="shared" si="16"/>
        <v>20.925000000000036</v>
      </c>
      <c r="C185">
        <f t="shared" si="12"/>
        <v>0.06583075108054126</v>
      </c>
      <c r="D185">
        <f t="shared" si="13"/>
        <v>0.5845446853702354</v>
      </c>
      <c r="E185" s="6">
        <f t="shared" si="14"/>
        <v>16.602233919181803</v>
      </c>
      <c r="F185" s="6">
        <f t="shared" si="15"/>
        <v>16.6022339191818</v>
      </c>
    </row>
    <row r="186" spans="2:6" ht="13.5">
      <c r="B186">
        <f t="shared" si="16"/>
        <v>21.060000000000038</v>
      </c>
      <c r="C186">
        <f t="shared" si="12"/>
        <v>0.06563147573746023</v>
      </c>
      <c r="D186">
        <f t="shared" si="13"/>
        <v>0.5862467421021611</v>
      </c>
      <c r="E186" s="6">
        <f t="shared" si="14"/>
        <v>16.59007380186598</v>
      </c>
      <c r="F186" s="6">
        <f t="shared" si="15"/>
        <v>16.59007380186598</v>
      </c>
    </row>
    <row r="187" spans="2:6" ht="13.5">
      <c r="B187">
        <f t="shared" si="16"/>
        <v>21.19500000000004</v>
      </c>
      <c r="C187">
        <f t="shared" si="12"/>
        <v>0.06543294789052678</v>
      </c>
      <c r="D187">
        <f t="shared" si="13"/>
        <v>0.5879375146176099</v>
      </c>
      <c r="E187" s="6">
        <f t="shared" si="14"/>
        <v>16.577908110632187</v>
      </c>
      <c r="F187" s="6">
        <f t="shared" si="15"/>
        <v>16.577908110632183</v>
      </c>
    </row>
    <row r="188" spans="2:6" ht="13.5">
      <c r="B188">
        <f t="shared" si="16"/>
        <v>21.33000000000004</v>
      </c>
      <c r="C188">
        <f t="shared" si="12"/>
        <v>0.06523516488034187</v>
      </c>
      <c r="D188">
        <f t="shared" si="13"/>
        <v>0.5896171225435888</v>
      </c>
      <c r="E188" s="6">
        <f t="shared" si="14"/>
        <v>16.565736586659796</v>
      </c>
      <c r="F188" s="6">
        <f t="shared" si="15"/>
        <v>16.565736586659796</v>
      </c>
    </row>
    <row r="189" spans="2:6" ht="13.5">
      <c r="B189">
        <f t="shared" si="16"/>
        <v>21.465000000000042</v>
      </c>
      <c r="C189">
        <f t="shared" si="12"/>
        <v>0.06503812401875206</v>
      </c>
      <c r="D189">
        <f t="shared" si="13"/>
        <v>0.5912856837540373</v>
      </c>
      <c r="E189" s="6">
        <f t="shared" si="14"/>
        <v>16.553558977531548</v>
      </c>
      <c r="F189" s="6">
        <f t="shared" si="15"/>
        <v>16.553558977531548</v>
      </c>
    </row>
    <row r="190" spans="2:6" ht="13.5">
      <c r="B190">
        <f t="shared" si="16"/>
        <v>21.600000000000044</v>
      </c>
      <c r="C190">
        <f t="shared" si="12"/>
        <v>0.06484182259050075</v>
      </c>
      <c r="D190">
        <f t="shared" si="13"/>
        <v>0.5929433144028124</v>
      </c>
      <c r="E190" s="6">
        <f t="shared" si="14"/>
        <v>16.541375037076442</v>
      </c>
      <c r="F190" s="6">
        <f t="shared" si="15"/>
        <v>16.541375037076442</v>
      </c>
    </row>
    <row r="191" spans="2:6" ht="13.5">
      <c r="B191">
        <f aca="true" t="shared" si="17" ref="B191:B222">B190+$F$8/$B$26</f>
        <v>21.735000000000046</v>
      </c>
      <c r="C191">
        <f t="shared" si="12"/>
        <v>0.06464625785481919</v>
      </c>
      <c r="D191">
        <f t="shared" si="13"/>
        <v>0.5945901289559121</v>
      </c>
      <c r="E191" s="6">
        <f t="shared" si="14"/>
        <v>16.529184525217012</v>
      </c>
      <c r="F191" s="6">
        <f t="shared" si="15"/>
        <v>16.529184525217012</v>
      </c>
    </row>
    <row r="192" spans="2:6" ht="13.5">
      <c r="B192">
        <f t="shared" si="17"/>
        <v>21.870000000000047</v>
      </c>
      <c r="C192">
        <f t="shared" si="12"/>
        <v>0.06445142704695947</v>
      </c>
      <c r="D192">
        <f t="shared" si="13"/>
        <v>0.5962262402229588</v>
      </c>
      <c r="E192" s="6">
        <f t="shared" si="14"/>
        <v>16.516987207820748</v>
      </c>
      <c r="F192" s="6">
        <f t="shared" si="15"/>
        <v>16.516987207820744</v>
      </c>
    </row>
    <row r="193" spans="2:6" ht="13.5">
      <c r="B193">
        <f t="shared" si="17"/>
        <v>22.00500000000005</v>
      </c>
      <c r="C193">
        <f t="shared" si="12"/>
        <v>0.06425732737967202</v>
      </c>
      <c r="D193">
        <f t="shared" si="13"/>
        <v>0.5978517593879605</v>
      </c>
      <c r="E193" s="6">
        <f t="shared" si="14"/>
        <v>16.504782856555646</v>
      </c>
      <c r="F193" s="6">
        <f t="shared" si="15"/>
        <v>16.504782856555646</v>
      </c>
    </row>
    <row r="194" spans="2:6" ht="13.5">
      <c r="B194">
        <f t="shared" si="17"/>
        <v>22.14000000000005</v>
      </c>
      <c r="C194">
        <f t="shared" si="12"/>
        <v>0.06406395604462893</v>
      </c>
      <c r="D194">
        <f t="shared" si="13"/>
        <v>0.5994667960393726</v>
      </c>
      <c r="E194" s="6">
        <f t="shared" si="14"/>
        <v>16.492571248749698</v>
      </c>
      <c r="F194" s="6">
        <f t="shared" si="15"/>
        <v>16.4925712487497</v>
      </c>
    </row>
    <row r="195" spans="2:6" ht="13.5">
      <c r="B195">
        <f t="shared" si="17"/>
        <v>22.275000000000052</v>
      </c>
      <c r="C195">
        <f t="shared" si="12"/>
        <v>0.0638713102137955</v>
      </c>
      <c r="D195">
        <f t="shared" si="13"/>
        <v>0.6010714581994766</v>
      </c>
      <c r="E195" s="6">
        <f t="shared" si="14"/>
        <v>16.480352167254164</v>
      </c>
      <c r="F195" s="6">
        <f t="shared" si="15"/>
        <v>16.480352167254164</v>
      </c>
    </row>
    <row r="196" spans="2:6" ht="13.5">
      <c r="B196">
        <f t="shared" si="17"/>
        <v>22.410000000000053</v>
      </c>
      <c r="C196">
        <f t="shared" si="12"/>
        <v>0.06367938704075164</v>
      </c>
      <c r="D196">
        <f t="shared" si="13"/>
        <v>0.6026658523530959</v>
      </c>
      <c r="E196" s="6">
        <f t="shared" si="14"/>
        <v>16.468125400310594</v>
      </c>
      <c r="F196" s="6">
        <f t="shared" si="15"/>
        <v>16.468125400310594</v>
      </c>
    </row>
    <row r="197" spans="2:6" ht="13.5">
      <c r="B197">
        <f t="shared" si="17"/>
        <v>22.545000000000055</v>
      </c>
      <c r="C197">
        <f t="shared" si="12"/>
        <v>0.06348818366196508</v>
      </c>
      <c r="D197">
        <f t="shared" si="13"/>
        <v>0.6042500834756659</v>
      </c>
      <c r="E197" s="6">
        <f t="shared" si="14"/>
        <v>16.455890741421424</v>
      </c>
      <c r="F197" s="6">
        <f t="shared" si="15"/>
        <v>16.455890741421424</v>
      </c>
    </row>
    <row r="198" spans="2:6" ht="13.5">
      <c r="B198">
        <f t="shared" si="17"/>
        <v>22.680000000000057</v>
      </c>
      <c r="C198">
        <f t="shared" si="12"/>
        <v>0.0632976971980179</v>
      </c>
      <c r="D198">
        <f t="shared" si="13"/>
        <v>0.6058242550606744</v>
      </c>
      <c r="E198" s="6">
        <f t="shared" si="14"/>
        <v>16.443647989224058</v>
      </c>
      <c r="F198" s="6">
        <f t="shared" si="15"/>
        <v>16.443647989224058</v>
      </c>
    </row>
    <row r="199" spans="2:6" ht="13.5">
      <c r="B199">
        <f t="shared" si="17"/>
        <v>22.815000000000058</v>
      </c>
      <c r="C199">
        <f t="shared" si="12"/>
        <v>0.06310792475478805</v>
      </c>
      <c r="D199">
        <f t="shared" si="13"/>
        <v>0.6073884691464924</v>
      </c>
      <c r="E199" s="6">
        <f t="shared" si="14"/>
        <v>16.431396947368302</v>
      </c>
      <c r="F199" s="6">
        <f t="shared" si="15"/>
        <v>16.431396947368306</v>
      </c>
    </row>
    <row r="200" spans="2:6" ht="13.5">
      <c r="B200">
        <f t="shared" si="17"/>
        <v>22.95000000000006</v>
      </c>
      <c r="C200">
        <f t="shared" si="12"/>
        <v>0.06291886342458775</v>
      </c>
      <c r="D200">
        <f t="shared" si="13"/>
        <v>0.6089428263426071</v>
      </c>
      <c r="E200" s="6">
        <f t="shared" si="14"/>
        <v>16.419137424397142</v>
      </c>
      <c r="F200" s="6">
        <f t="shared" si="15"/>
        <v>16.419137424397142</v>
      </c>
    </row>
    <row r="201" spans="2:6" ht="13.5">
      <c r="B201">
        <f t="shared" si="17"/>
        <v>23.08500000000006</v>
      </c>
      <c r="C201">
        <f t="shared" si="12"/>
        <v>0.06273051028725972</v>
      </c>
      <c r="D201">
        <f t="shared" si="13"/>
        <v>0.6104874258552775</v>
      </c>
      <c r="E201" s="6">
        <f t="shared" si="14"/>
        <v>16.406869233630562</v>
      </c>
      <c r="F201" s="6">
        <f t="shared" si="15"/>
        <v>16.40686923363056</v>
      </c>
    </row>
    <row r="202" spans="2:6" ht="13.5">
      <c r="B202">
        <f t="shared" si="17"/>
        <v>23.220000000000063</v>
      </c>
      <c r="C202">
        <f t="shared" si="12"/>
        <v>0.0625428624112334</v>
      </c>
      <c r="D202">
        <f t="shared" si="13"/>
        <v>0.6120223655126225</v>
      </c>
      <c r="E202" s="6">
        <f t="shared" si="14"/>
        <v>16.39459219305259</v>
      </c>
      <c r="F202" s="6">
        <f t="shared" si="15"/>
        <v>16.39459219305259</v>
      </c>
    </row>
    <row r="203" spans="2:6" ht="13.5">
      <c r="B203">
        <f t="shared" si="17"/>
        <v>23.355000000000064</v>
      </c>
      <c r="C203">
        <f t="shared" si="12"/>
        <v>0.06235591685454192</v>
      </c>
      <c r="D203">
        <f t="shared" si="13"/>
        <v>0.6135477417891625</v>
      </c>
      <c r="E203" s="6">
        <f t="shared" si="14"/>
        <v>16.3823061252012</v>
      </c>
      <c r="F203" s="6">
        <f t="shared" si="15"/>
        <v>16.3823061252012</v>
      </c>
    </row>
    <row r="204" spans="2:6" ht="13.5">
      <c r="B204">
        <f t="shared" si="17"/>
        <v>23.490000000000066</v>
      </c>
      <c r="C204">
        <f t="shared" si="12"/>
        <v>0.062169670665801625</v>
      </c>
      <c r="D204">
        <f t="shared" si="13"/>
        <v>0.6150636498298235</v>
      </c>
      <c r="E204" s="6">
        <f t="shared" si="14"/>
        <v>16.370010857061178</v>
      </c>
      <c r="F204" s="6">
        <f t="shared" si="15"/>
        <v>16.37001085706118</v>
      </c>
    </row>
    <row r="205" spans="2:6" ht="13.5">
      <c r="B205">
        <f t="shared" si="17"/>
        <v>23.625000000000068</v>
      </c>
      <c r="C205">
        <f t="shared" si="12"/>
        <v>0.061984120885155404</v>
      </c>
      <c r="D205">
        <f t="shared" si="13"/>
        <v>0.6165701834734194</v>
      </c>
      <c r="E205" s="6">
        <f t="shared" si="14"/>
        <v>16.357706219959812</v>
      </c>
      <c r="F205" s="6">
        <f t="shared" si="15"/>
        <v>16.357706219959812</v>
      </c>
    </row>
    <row r="206" spans="2:6" ht="13.5">
      <c r="B206">
        <f t="shared" si="17"/>
        <v>23.76000000000007</v>
      </c>
      <c r="C206">
        <f t="shared" si="12"/>
        <v>0.06179926454518089</v>
      </c>
      <c r="D206">
        <f t="shared" si="13"/>
        <v>0.6180674352756268</v>
      </c>
      <c r="E206" s="6">
        <f t="shared" si="14"/>
        <v>16.34539204946524</v>
      </c>
      <c r="F206" s="6">
        <f t="shared" si="15"/>
        <v>16.34539204946524</v>
      </c>
    </row>
    <row r="207" spans="2:6" ht="13.5">
      <c r="B207">
        <f t="shared" si="17"/>
        <v>23.89500000000007</v>
      </c>
      <c r="C207">
        <f t="shared" si="12"/>
        <v>0.06161509867176489</v>
      </c>
      <c r="D207">
        <f t="shared" si="13"/>
        <v>0.6195554965314658</v>
      </c>
      <c r="E207" s="6">
        <f t="shared" si="14"/>
        <v>16.33306818528747</v>
      </c>
      <c r="F207" s="6">
        <f t="shared" si="15"/>
        <v>16.33306818528747</v>
      </c>
    </row>
    <row r="208" spans="2:6" ht="13.5">
      <c r="B208">
        <f t="shared" si="17"/>
        <v>24.030000000000072</v>
      </c>
      <c r="C208">
        <f t="shared" si="12"/>
        <v>0.06143162028494514</v>
      </c>
      <c r="D208">
        <f t="shared" si="13"/>
        <v>0.6210344572972973</v>
      </c>
      <c r="E208" s="6">
        <f t="shared" si="14"/>
        <v>16.32073447118198</v>
      </c>
      <c r="F208" s="6">
        <f t="shared" si="15"/>
        <v>16.320734471181975</v>
      </c>
    </row>
    <row r="209" spans="2:6" ht="13.5">
      <c r="B209">
        <f t="shared" si="17"/>
        <v>24.165000000000074</v>
      </c>
      <c r="C209">
        <f t="shared" si="12"/>
        <v>0.06124882639972095</v>
      </c>
      <c r="D209">
        <f t="shared" si="13"/>
        <v>0.6225044064123486</v>
      </c>
      <c r="E209" s="6">
        <f t="shared" si="14"/>
        <v>16.308390754855832</v>
      </c>
      <c r="F209" s="6">
        <f t="shared" si="15"/>
        <v>16.308390754855836</v>
      </c>
    </row>
    <row r="210" spans="2:6" ht="13.5">
      <c r="B210">
        <f t="shared" si="17"/>
        <v>24.300000000000075</v>
      </c>
      <c r="C210">
        <f t="shared" si="12"/>
        <v>0.06106671402683285</v>
      </c>
      <c r="D210">
        <f t="shared" si="13"/>
        <v>0.623965431519785</v>
      </c>
      <c r="E210" s="6">
        <f t="shared" si="14"/>
        <v>16.296036887876124</v>
      </c>
      <c r="F210" s="6">
        <f t="shared" si="15"/>
        <v>16.296036887876124</v>
      </c>
    </row>
    <row r="211" spans="2:6" ht="13.5">
      <c r="B211">
        <f t="shared" si="17"/>
        <v>24.435000000000077</v>
      </c>
      <c r="C211">
        <f t="shared" si="12"/>
        <v>0.0608852801735135</v>
      </c>
      <c r="D211">
        <f t="shared" si="13"/>
        <v>0.6254176190873303</v>
      </c>
      <c r="E211" s="6">
        <f t="shared" si="14"/>
        <v>16.283672725580864</v>
      </c>
      <c r="F211" s="6">
        <f t="shared" si="15"/>
        <v>16.283672725580864</v>
      </c>
    </row>
    <row r="212" spans="2:6" ht="13.5">
      <c r="B212">
        <f t="shared" si="17"/>
        <v>24.57000000000008</v>
      </c>
      <c r="C212">
        <f t="shared" si="12"/>
        <v>0.06070452184420983</v>
      </c>
      <c r="D212">
        <f t="shared" si="13"/>
        <v>0.6268610544274558</v>
      </c>
      <c r="E212" s="6">
        <f t="shared" si="14"/>
        <v>16.271298126992075</v>
      </c>
      <c r="F212" s="6">
        <f t="shared" si="15"/>
        <v>16.271298126992075</v>
      </c>
    </row>
    <row r="213" spans="2:6" ht="13.5">
      <c r="B213">
        <f t="shared" si="17"/>
        <v>24.70500000000008</v>
      </c>
      <c r="C213">
        <f t="shared" si="12"/>
        <v>0.06052443604127807</v>
      </c>
      <c r="D213">
        <f t="shared" si="13"/>
        <v>0.6282958217171425</v>
      </c>
      <c r="E213" s="6">
        <f t="shared" si="14"/>
        <v>16.258912954731134</v>
      </c>
      <c r="F213" s="6">
        <f t="shared" si="15"/>
        <v>16.258912954731134</v>
      </c>
    </row>
    <row r="214" spans="2:6" ht="13.5">
      <c r="B214">
        <f t="shared" si="17"/>
        <v>24.84000000000008</v>
      </c>
      <c r="C214">
        <f t="shared" si="12"/>
        <v>0.06034501976565247</v>
      </c>
      <c r="D214">
        <f t="shared" si="13"/>
        <v>0.6297220040172292</v>
      </c>
      <c r="E214" s="6">
        <f t="shared" si="14"/>
        <v>16.246517074936293</v>
      </c>
      <c r="F214" s="6">
        <f t="shared" si="15"/>
        <v>16.246517074936296</v>
      </c>
    </row>
    <row r="215" spans="2:6" ht="13.5">
      <c r="B215">
        <f t="shared" si="17"/>
        <v>24.975000000000083</v>
      </c>
      <c r="C215">
        <f t="shared" si="12"/>
        <v>0.060166270017488095</v>
      </c>
      <c r="D215">
        <f t="shared" si="13"/>
        <v>0.6311396832913607</v>
      </c>
      <c r="E215" s="6">
        <f t="shared" si="14"/>
        <v>16.234110357182175</v>
      </c>
      <c r="F215" s="6">
        <f t="shared" si="15"/>
        <v>16.23411035718217</v>
      </c>
    </row>
    <row r="216" spans="2:6" ht="13.5">
      <c r="B216">
        <f t="shared" si="17"/>
        <v>25.110000000000085</v>
      </c>
      <c r="C216">
        <f t="shared" si="12"/>
        <v>0.05998818379677965</v>
      </c>
      <c r="D216">
        <f t="shared" si="13"/>
        <v>0.6325489404245362</v>
      </c>
      <c r="E216" s="6">
        <f t="shared" si="14"/>
        <v>16.221692674401467</v>
      </c>
      <c r="F216" s="6">
        <f t="shared" si="15"/>
        <v>16.22169267440147</v>
      </c>
    </row>
    <row r="217" spans="2:6" ht="13.5">
      <c r="B217">
        <f t="shared" si="17"/>
        <v>25.245000000000086</v>
      </c>
      <c r="C217">
        <f t="shared" si="12"/>
        <v>0.05981075810395585</v>
      </c>
      <c r="D217">
        <f t="shared" si="13"/>
        <v>0.6339498552412812</v>
      </c>
      <c r="E217" s="6">
        <f t="shared" si="14"/>
        <v>16.20926390280841</v>
      </c>
      <c r="F217" s="6">
        <f t="shared" si="15"/>
        <v>16.209263902808413</v>
      </c>
    </row>
    <row r="218" spans="2:6" ht="13.5">
      <c r="B218">
        <f t="shared" si="17"/>
        <v>25.380000000000088</v>
      </c>
      <c r="C218">
        <f t="shared" si="12"/>
        <v>0.05963398994045145</v>
      </c>
      <c r="D218">
        <f t="shared" si="13"/>
        <v>0.6353425065234386</v>
      </c>
      <c r="E218" s="6">
        <f t="shared" si="14"/>
        <v>16.196823921824322</v>
      </c>
      <c r="F218" s="6">
        <f t="shared" si="15"/>
        <v>16.196823921824322</v>
      </c>
    </row>
    <row r="219" spans="2:6" ht="13.5">
      <c r="B219">
        <f t="shared" si="17"/>
        <v>25.51500000000009</v>
      </c>
      <c r="C219">
        <f t="shared" si="12"/>
        <v>0.059457876309256696</v>
      </c>
      <c r="D219">
        <f t="shared" si="13"/>
        <v>0.6367269720275976</v>
      </c>
      <c r="E219" s="6">
        <f t="shared" si="14"/>
        <v>16.184372614004953</v>
      </c>
      <c r="F219" s="6">
        <f t="shared" si="15"/>
        <v>16.18437261400495</v>
      </c>
    </row>
    <row r="220" spans="2:6" ht="13.5">
      <c r="B220">
        <f t="shared" si="17"/>
        <v>25.65000000000009</v>
      </c>
      <c r="C220">
        <f t="shared" si="12"/>
        <v>0.05928241421544549</v>
      </c>
      <c r="D220">
        <f t="shared" si="13"/>
        <v>0.6381033285021676</v>
      </c>
      <c r="E220" s="6">
        <f t="shared" si="14"/>
        <v>16.17190986496959</v>
      </c>
      <c r="F220" s="6">
        <f t="shared" si="15"/>
        <v>16.171909864969585</v>
      </c>
    </row>
    <row r="221" spans="2:6" ht="13.5">
      <c r="B221">
        <f t="shared" si="17"/>
        <v>25.785000000000093</v>
      </c>
      <c r="C221">
        <f t="shared" si="12"/>
        <v>0.05910760066668299</v>
      </c>
      <c r="D221">
        <f t="shared" si="13"/>
        <v>0.6394716517041003</v>
      </c>
      <c r="E221" s="6">
        <f t="shared" si="14"/>
        <v>16.159435563332007</v>
      </c>
      <c r="F221" s="6">
        <f t="shared" si="15"/>
        <v>16.159435563332003</v>
      </c>
    </row>
    <row r="222" spans="2:6" ht="13.5">
      <c r="B222">
        <f t="shared" si="17"/>
        <v>25.920000000000094</v>
      </c>
      <c r="C222">
        <f aca="true" t="shared" si="18" ref="C222:C230">IF(B222=0,$A$3,($A$8*($A$6+B222)^$A$9+$A$10-$A$2*B222)/($A$5*B222+$D$11/$A$3))</f>
        <v>0.058933432673713045</v>
      </c>
      <c r="D222">
        <f aca="true" t="shared" si="19" ref="D222:D230">IF(C222&gt;=$A$3,0,($A$4-$A$3+(($A$4-$A$3)^2+4*$A$4*($A$3-C222))^0.5)/(2*$A$4))</f>
        <v>0.6408320164152768</v>
      </c>
      <c r="E222" s="6">
        <f aca="true" t="shared" si="20" ref="E222:E230">(($A$8*($A$6+B222)^$A$9+$A$10)-$A$2*B222)/($A$3+$A$4*D222)</f>
        <v>16.146949600633047</v>
      </c>
      <c r="F222" s="6">
        <f aca="true" t="shared" si="21" ref="F222:F230">(1-D222)*($A$5*B222+$D$11/$A$3)</f>
        <v>16.146949600633047</v>
      </c>
    </row>
    <row r="223" spans="2:6" ht="13.5">
      <c r="B223">
        <f aca="true" t="shared" si="22" ref="B223:B230">B222+$F$8/$B$26</f>
        <v>26.055000000000096</v>
      </c>
      <c r="C223">
        <f t="shared" si="18"/>
        <v>0.05875990725082649</v>
      </c>
      <c r="D223">
        <f t="shared" si="19"/>
        <v>0.6421844964585607</v>
      </c>
      <c r="E223" s="6">
        <f t="shared" si="20"/>
        <v>16.134451871274898</v>
      </c>
      <c r="F223" s="6">
        <f t="shared" si="21"/>
        <v>16.134451871274898</v>
      </c>
    </row>
    <row r="224" spans="2:6" ht="13.5">
      <c r="B224">
        <f t="shared" si="22"/>
        <v>26.190000000000097</v>
      </c>
      <c r="C224">
        <f t="shared" si="18"/>
        <v>0.05858702141631088</v>
      </c>
      <c r="D224">
        <f t="shared" si="19"/>
        <v>0.6435291647135281</v>
      </c>
      <c r="E224" s="6">
        <f t="shared" si="20"/>
        <v>16.121942272457048</v>
      </c>
      <c r="F224" s="6">
        <f t="shared" si="21"/>
        <v>16.121942272457048</v>
      </c>
    </row>
    <row r="225" spans="2:6" ht="13.5">
      <c r="B225">
        <f t="shared" si="22"/>
        <v>26.3250000000001</v>
      </c>
      <c r="C225">
        <f t="shared" si="18"/>
        <v>0.05841477219288188</v>
      </c>
      <c r="D225">
        <f t="shared" si="19"/>
        <v>0.6448660931318851</v>
      </c>
      <c r="E225" s="6">
        <f t="shared" si="20"/>
        <v>16.109420704113603</v>
      </c>
      <c r="F225" s="6">
        <f t="shared" si="21"/>
        <v>16.109420704113607</v>
      </c>
    </row>
    <row r="226" spans="2:6" ht="13.5">
      <c r="B226">
        <f t="shared" si="22"/>
        <v>26.4600000000001</v>
      </c>
      <c r="C226">
        <f t="shared" si="18"/>
        <v>0.058243156608097764</v>
      </c>
      <c r="D226">
        <f t="shared" si="19"/>
        <v>0.646195352752573</v>
      </c>
      <c r="E226" s="6">
        <f t="shared" si="20"/>
        <v>16.096887068852418</v>
      </c>
      <c r="F226" s="6">
        <f t="shared" si="21"/>
        <v>16.09688706885242</v>
      </c>
    </row>
    <row r="227" spans="2:6" ht="13.5">
      <c r="B227">
        <f t="shared" si="22"/>
        <v>26.595000000000102</v>
      </c>
      <c r="C227">
        <f t="shared" si="18"/>
        <v>0.05807217169475676</v>
      </c>
      <c r="D227">
        <f t="shared" si="19"/>
        <v>0.647517013716576</v>
      </c>
      <c r="E227" s="6">
        <f t="shared" si="20"/>
        <v>16.084341271895447</v>
      </c>
      <c r="F227" s="6">
        <f t="shared" si="21"/>
        <v>16.084341271895447</v>
      </c>
    </row>
    <row r="228" spans="2:6" ht="13.5">
      <c r="B228">
        <f t="shared" si="22"/>
        <v>26.730000000000103</v>
      </c>
      <c r="C228">
        <f t="shared" si="18"/>
        <v>0.05790181449127829</v>
      </c>
      <c r="D228">
        <f t="shared" si="19"/>
        <v>0.6488311452814338</v>
      </c>
      <c r="E228" s="6">
        <f t="shared" si="20"/>
        <v>16.071783221020734</v>
      </c>
      <c r="F228" s="6">
        <f t="shared" si="21"/>
        <v>16.071783221020734</v>
      </c>
    </row>
    <row r="229" spans="2:6" ht="13.5">
      <c r="B229">
        <f t="shared" si="22"/>
        <v>26.865000000000105</v>
      </c>
      <c r="C229">
        <f t="shared" si="18"/>
        <v>0.057732082042068616</v>
      </c>
      <c r="D229">
        <f t="shared" si="19"/>
        <v>0.6501378158354688</v>
      </c>
      <c r="E229" s="6">
        <f t="shared" si="20"/>
        <v>16.059212826505668</v>
      </c>
      <c r="F229" s="6">
        <f t="shared" si="21"/>
        <v>16.059212826505664</v>
      </c>
    </row>
    <row r="230" spans="2:6" ht="13.5">
      <c r="B230">
        <f t="shared" si="22"/>
        <v>27.000000000000107</v>
      </c>
      <c r="C230">
        <f t="shared" si="18"/>
        <v>0.05756297139787125</v>
      </c>
      <c r="D230">
        <f t="shared" si="19"/>
        <v>0.6514370929117311</v>
      </c>
      <c r="E230" s="6">
        <f t="shared" si="20"/>
        <v>16.046630001071694</v>
      </c>
      <c r="F230" s="6">
        <f t="shared" si="21"/>
        <v>16.046630001071698</v>
      </c>
    </row>
    <row r="231" spans="2:6" ht="13.5">
      <c r="B231" s="7" t="s">
        <v>221</v>
      </c>
      <c r="C231" s="7" t="s">
        <v>453</v>
      </c>
      <c r="D231" s="7" t="s">
        <v>454</v>
      </c>
      <c r="E231" s="7" t="s">
        <v>174</v>
      </c>
      <c r="F231" s="7" t="s">
        <v>171</v>
      </c>
    </row>
    <row r="232" spans="2:5" ht="13.5">
      <c r="B232" s="7"/>
      <c r="D232" s="7"/>
      <c r="E232" s="1"/>
    </row>
    <row r="233" spans="2:4" ht="13.5">
      <c r="B233" s="7" t="s">
        <v>221</v>
      </c>
      <c r="C233" s="7" t="s">
        <v>422</v>
      </c>
      <c r="D233" s="1" t="s">
        <v>442</v>
      </c>
    </row>
    <row r="234" spans="1:4" ht="13.5">
      <c r="A234" s="11" t="s">
        <v>446</v>
      </c>
      <c r="B234">
        <f>E21</f>
        <v>0.27</v>
      </c>
      <c r="C234">
        <f>E22</f>
        <v>0.003853239487682818</v>
      </c>
      <c r="D234">
        <f>E24</f>
        <v>19.232146667221684</v>
      </c>
    </row>
    <row r="235" ht="13.5">
      <c r="B235" t="s">
        <v>433</v>
      </c>
    </row>
    <row r="236" spans="1:3" ht="13.5">
      <c r="A236">
        <v>0</v>
      </c>
      <c r="B236">
        <f>F8</f>
        <v>27</v>
      </c>
      <c r="C236">
        <v>0</v>
      </c>
    </row>
  </sheetData>
  <printOptions gridLines="1" headings="1"/>
  <pageMargins left="0.75" right="0.75" top="1" bottom="1" header="0.5" footer="0.5"/>
  <pageSetup horizontalDpi="96" verticalDpi="96" orientation="landscape" r:id="rId2"/>
  <headerFooter alignWithMargins="0">
    <oddHeader>&amp;C&amp;A</oddHeader>
    <oddFooter>&amp;CPage &amp;P</oddFooter>
  </headerFooter>
  <colBreaks count="2" manualBreakCount="2">
    <brk id="18" max="65535" man="1"/>
    <brk id="2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A1">
      <selection activeCell="A1" sqref="A1"/>
    </sheetView>
  </sheetViews>
  <sheetFormatPr defaultColWidth="9.00390625" defaultRowHeight="13.5"/>
  <cols>
    <col min="1" max="16384" width="9.125" style="0" customWidth="1"/>
  </cols>
  <sheetData>
    <row r="1" spans="1:18" ht="13.5">
      <c r="A1" s="2">
        <v>0.5</v>
      </c>
      <c r="B1" t="s">
        <v>6</v>
      </c>
      <c r="C1" t="s">
        <v>10</v>
      </c>
      <c r="N1" s="2">
        <v>0.5</v>
      </c>
      <c r="O1" s="2">
        <v>0.5</v>
      </c>
      <c r="P1" s="2">
        <v>0.5</v>
      </c>
      <c r="Q1" t="s">
        <v>6</v>
      </c>
      <c r="R1">
        <f ca="1">RAND()</f>
        <v>0.6375458804216176</v>
      </c>
    </row>
    <row r="2" spans="1:18" ht="13.5">
      <c r="A2" s="4">
        <v>1</v>
      </c>
      <c r="B2" t="s">
        <v>11</v>
      </c>
      <c r="C2" t="s">
        <v>12</v>
      </c>
      <c r="N2" s="4">
        <v>1</v>
      </c>
      <c r="O2" s="4">
        <v>1</v>
      </c>
      <c r="P2" s="4">
        <v>1</v>
      </c>
      <c r="Q2" t="s">
        <v>11</v>
      </c>
      <c r="R2">
        <f ca="1">1/RAND()-1</f>
        <v>0.5061810072589494</v>
      </c>
    </row>
    <row r="3" spans="1:18" ht="13.5">
      <c r="A3" s="4">
        <v>1000</v>
      </c>
      <c r="B3" t="s">
        <v>13</v>
      </c>
      <c r="C3" t="s">
        <v>14</v>
      </c>
      <c r="N3" s="4">
        <v>1000</v>
      </c>
      <c r="O3" s="4">
        <v>1000</v>
      </c>
      <c r="P3" s="4">
        <v>1000</v>
      </c>
      <c r="Q3" t="s">
        <v>13</v>
      </c>
      <c r="R3">
        <f ca="1">1/RAND()-1</f>
        <v>1.333248620915859</v>
      </c>
    </row>
    <row r="4" spans="1:18" ht="13.5">
      <c r="A4" s="4">
        <v>100</v>
      </c>
      <c r="B4" t="s">
        <v>15</v>
      </c>
      <c r="C4" s="1" t="s">
        <v>16</v>
      </c>
      <c r="N4" s="4">
        <v>100</v>
      </c>
      <c r="O4" s="4">
        <v>100</v>
      </c>
      <c r="P4" s="4">
        <v>200</v>
      </c>
      <c r="Q4" t="s">
        <v>15</v>
      </c>
      <c r="R4">
        <f ca="1">1/RAND()-1</f>
        <v>25.203219744082485</v>
      </c>
    </row>
    <row r="5" spans="1:18" ht="13.5">
      <c r="A5" s="4">
        <v>20</v>
      </c>
      <c r="B5" t="s">
        <v>171</v>
      </c>
      <c r="C5" s="1" t="s">
        <v>266</v>
      </c>
      <c r="N5" s="4">
        <v>20</v>
      </c>
      <c r="O5" s="4">
        <v>50</v>
      </c>
      <c r="P5" s="4">
        <v>100</v>
      </c>
      <c r="Q5" t="s">
        <v>171</v>
      </c>
      <c r="R5">
        <f ca="1">RAND()*R4</f>
        <v>7.442311392302572</v>
      </c>
    </row>
    <row r="6" spans="1:18" ht="13.5">
      <c r="A6" s="5">
        <v>0.9</v>
      </c>
      <c r="B6" t="s">
        <v>3</v>
      </c>
      <c r="C6" s="1" t="s">
        <v>17</v>
      </c>
      <c r="N6" s="5">
        <v>0.9</v>
      </c>
      <c r="O6" s="5">
        <v>0.9</v>
      </c>
      <c r="P6" s="5">
        <v>0.9</v>
      </c>
      <c r="Q6" t="s">
        <v>3</v>
      </c>
      <c r="R6">
        <f ca="1">RAND()</f>
        <v>0.4481885257050422</v>
      </c>
    </row>
    <row r="7" ht="13.5">
      <c r="A7" s="1" t="s">
        <v>274</v>
      </c>
    </row>
    <row r="8" spans="1:8" ht="13.5">
      <c r="A8">
        <f>G8</f>
        <v>110.25</v>
      </c>
      <c r="B8" s="1" t="s">
        <v>503</v>
      </c>
      <c r="C8" t="s">
        <v>19</v>
      </c>
      <c r="G8">
        <f>MIN(((A5+1)*A1*A2)^(1/(1-A1)),A3)</f>
        <v>110.25</v>
      </c>
      <c r="H8" s="1" t="s">
        <v>345</v>
      </c>
    </row>
    <row r="9" spans="1:10" ht="13.5">
      <c r="A9">
        <f>G9</f>
        <v>5.166957026713123</v>
      </c>
      <c r="B9" s="1" t="s">
        <v>504</v>
      </c>
      <c r="C9" s="1" t="s">
        <v>22</v>
      </c>
      <c r="G9">
        <f>(A17-A2*G8^A1)*(1-A6)/(1-A6*A5/A4)</f>
        <v>5.166957026713123</v>
      </c>
      <c r="H9" s="1" t="s">
        <v>275</v>
      </c>
      <c r="J9">
        <f>J16/(1+A6*(1-A5/A4)/(1-A6))</f>
        <v>5.166957026713122</v>
      </c>
    </row>
    <row r="10" spans="2:14" ht="13.5">
      <c r="B10">
        <f>A3-A8-A5*A9</f>
        <v>786.4108594657375</v>
      </c>
      <c r="C10" s="1" t="s">
        <v>501</v>
      </c>
      <c r="M10">
        <f>B10-A9</f>
        <v>781.2439024390244</v>
      </c>
      <c r="N10" t="s">
        <v>346</v>
      </c>
    </row>
    <row r="11" spans="2:14" ht="13.5">
      <c r="B11">
        <f>A2*A8^A1+B10</f>
        <v>796.9108594657375</v>
      </c>
      <c r="C11" s="1" t="s">
        <v>23</v>
      </c>
      <c r="I11" s="7" t="s">
        <v>265</v>
      </c>
      <c r="L11" s="6">
        <f>((A3-G8-M10)/(A5+1))*(1-A5/A4)*A6/(1-A6)</f>
        <v>37.20209059233451</v>
      </c>
      <c r="M11" s="6">
        <f>A20*(1-A5/A4)*A6/(1-A6)</f>
        <v>37.2020905923345</v>
      </c>
      <c r="N11" s="1" t="s">
        <v>349</v>
      </c>
    </row>
    <row r="12" spans="2:14" ht="13.5">
      <c r="B12">
        <f>A2*A8^A1+A9</f>
        <v>15.666957026713124</v>
      </c>
      <c r="C12" s="1" t="s">
        <v>510</v>
      </c>
      <c r="I12">
        <f>A2*(A8^A1)+A9*A5/A4</f>
        <v>11.533391405342625</v>
      </c>
      <c r="M12">
        <f>M10-(A5+1)*M11</f>
        <v>0</v>
      </c>
      <c r="N12" s="1" t="s">
        <v>347</v>
      </c>
    </row>
    <row r="13" spans="13:14" ht="13.5">
      <c r="M13">
        <f>A20-(A3-G8-M10)/(A5+1)</f>
        <v>0</v>
      </c>
      <c r="N13" s="1" t="s">
        <v>348</v>
      </c>
    </row>
    <row r="14" spans="1:14" ht="13.5">
      <c r="A14" s="1" t="s">
        <v>18</v>
      </c>
      <c r="M14">
        <f>(1-A5/A4)*(A3-G8)*A6/(1-A6*A5/A4)</f>
        <v>781.2439024390245</v>
      </c>
      <c r="N14" t="s">
        <v>204</v>
      </c>
    </row>
    <row r="15" spans="1:8" ht="13.5">
      <c r="A15" s="6">
        <f>G15</f>
        <v>110.25</v>
      </c>
      <c r="B15" s="3" t="s">
        <v>505</v>
      </c>
      <c r="C15" s="1" t="s">
        <v>19</v>
      </c>
      <c r="G15">
        <f>MIN((A2*A1*(A5+1))^(1/(1-A1)),A3)</f>
        <v>110.25</v>
      </c>
      <c r="H15" s="1" t="s">
        <v>507</v>
      </c>
    </row>
    <row r="16" spans="1:14" ht="13.5">
      <c r="A16" s="6">
        <f>(A3-A15)/(A5+1)</f>
        <v>42.36904761904762</v>
      </c>
      <c r="B16" s="3" t="s">
        <v>506</v>
      </c>
      <c r="C16" s="1" t="s">
        <v>514</v>
      </c>
      <c r="J16">
        <f>(A3-G15)/(A5+1)</f>
        <v>42.36904761904762</v>
      </c>
      <c r="M16">
        <f>A5+1</f>
        <v>21</v>
      </c>
      <c r="N16" s="3" t="s">
        <v>350</v>
      </c>
    </row>
    <row r="17" spans="1:14" ht="13.5">
      <c r="A17">
        <f>A2*(A15^A1)+A16</f>
        <v>52.86904761904762</v>
      </c>
      <c r="B17">
        <f>A2*(G15^A1)+(A3-G15)/(A5+1)</f>
        <v>52.86904761904762</v>
      </c>
      <c r="C17" s="1" t="s">
        <v>502</v>
      </c>
      <c r="M17">
        <f>MIN((M16*A2*A1)^(1/(1-A1)),A3)</f>
        <v>110.25</v>
      </c>
      <c r="N17" t="s">
        <v>351</v>
      </c>
    </row>
    <row r="18" spans="1:14" ht="13.5">
      <c r="A18" s="1" t="s">
        <v>515</v>
      </c>
      <c r="C18" s="1"/>
      <c r="M18">
        <f>M16*A2*M17^A1+(A3-M17)</f>
        <v>1110.25</v>
      </c>
      <c r="N18" t="s">
        <v>352</v>
      </c>
    </row>
    <row r="19" spans="1:14" ht="13.5">
      <c r="A19">
        <f>G8</f>
        <v>110.25</v>
      </c>
      <c r="B19" s="1" t="s">
        <v>1</v>
      </c>
      <c r="C19" s="1" t="s">
        <v>508</v>
      </c>
      <c r="M19">
        <f>M18/M16</f>
        <v>52.86904761904762</v>
      </c>
      <c r="N19" t="s">
        <v>353</v>
      </c>
    </row>
    <row r="20" spans="1:3" ht="13.5">
      <c r="A20">
        <f>G9</f>
        <v>5.166957026713123</v>
      </c>
      <c r="B20" s="1" t="s">
        <v>21</v>
      </c>
      <c r="C20" s="1" t="s">
        <v>509</v>
      </c>
    </row>
    <row r="21" spans="2:3" ht="13.5">
      <c r="B21">
        <f>A6*(1-A5/A4)*A20/(1-A6)</f>
        <v>37.2020905923345</v>
      </c>
      <c r="C21" s="1" t="s">
        <v>512</v>
      </c>
    </row>
    <row r="22" spans="2:14" ht="13.5">
      <c r="B22">
        <f>(B12-B17)+A6*(1-A5/A4)*A20/(1-A6)</f>
        <v>0</v>
      </c>
      <c r="C22" s="1" t="s">
        <v>513</v>
      </c>
      <c r="K22" s="1"/>
      <c r="M22">
        <f>A20*(1-A5/A4)*A6/(1-A6)</f>
        <v>37.2020905923345</v>
      </c>
      <c r="N22" s="1" t="s">
        <v>354</v>
      </c>
    </row>
    <row r="23" spans="1:14" ht="13.5">
      <c r="A23" s="1" t="s">
        <v>511</v>
      </c>
      <c r="C23" s="3"/>
      <c r="H23" s="11"/>
      <c r="M23">
        <f>M22*(M16-1)+M19</f>
        <v>796.9108594657376</v>
      </c>
      <c r="N23" t="s">
        <v>355</v>
      </c>
    </row>
    <row r="24" ht="13.5">
      <c r="C24" s="1"/>
    </row>
    <row r="25" ht="13.5">
      <c r="A25" t="s">
        <v>563</v>
      </c>
    </row>
    <row r="26" ht="13.5">
      <c r="A26" t="s">
        <v>267</v>
      </c>
    </row>
    <row r="27" ht="13.5">
      <c r="A27" t="s">
        <v>552</v>
      </c>
    </row>
    <row r="28" ht="13.5">
      <c r="A28" t="s">
        <v>24</v>
      </c>
    </row>
    <row r="29" ht="13.5">
      <c r="A29" t="s">
        <v>553</v>
      </c>
    </row>
    <row r="30" ht="13.5">
      <c r="A30" t="s">
        <v>554</v>
      </c>
    </row>
    <row r="31" ht="13.5">
      <c r="A31" t="s">
        <v>268</v>
      </c>
    </row>
    <row r="32" ht="13.5">
      <c r="A32" t="s">
        <v>269</v>
      </c>
    </row>
    <row r="33" ht="13.5">
      <c r="A33" t="s">
        <v>270</v>
      </c>
    </row>
    <row r="34" ht="13.5">
      <c r="A34" t="s">
        <v>271</v>
      </c>
    </row>
    <row r="35" ht="13.5">
      <c r="A35" t="s">
        <v>555</v>
      </c>
    </row>
    <row r="36" ht="13.5">
      <c r="A36" t="s">
        <v>556</v>
      </c>
    </row>
    <row r="37" ht="13.5">
      <c r="A37" t="s">
        <v>557</v>
      </c>
    </row>
    <row r="38" ht="13.5">
      <c r="A38" t="s">
        <v>558</v>
      </c>
    </row>
    <row r="39" ht="13.5">
      <c r="A39" t="s">
        <v>559</v>
      </c>
    </row>
    <row r="40" ht="13.5">
      <c r="A40" t="s">
        <v>560</v>
      </c>
    </row>
    <row r="41" ht="13.5">
      <c r="A41" t="s">
        <v>272</v>
      </c>
    </row>
    <row r="42" ht="13.5">
      <c r="A42" t="s">
        <v>273</v>
      </c>
    </row>
    <row r="43" ht="13.5">
      <c r="A43" t="s">
        <v>561</v>
      </c>
    </row>
    <row r="44" ht="13.5">
      <c r="A44" t="s">
        <v>562</v>
      </c>
    </row>
  </sheetData>
  <printOptions gridLines="1" headings="1"/>
  <pageMargins left="1" right="1" top="1" bottom="1" header="0.5" footer="0.5"/>
  <pageSetup horizontalDpi="96" verticalDpi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1">
      <selection activeCell="A1" sqref="A1"/>
    </sheetView>
  </sheetViews>
  <sheetFormatPr defaultColWidth="9.00390625" defaultRowHeight="13.5"/>
  <sheetData>
    <row r="1" spans="1:6" ht="13.5">
      <c r="A1" s="12">
        <v>2</v>
      </c>
      <c r="B1" s="9">
        <v>1</v>
      </c>
      <c r="C1" s="13">
        <v>0</v>
      </c>
      <c r="D1" s="1" t="s">
        <v>489</v>
      </c>
      <c r="E1" t="b">
        <f>AND(A1&gt;B1,B1&gt;C1)</f>
        <v>1</v>
      </c>
      <c r="F1" s="2">
        <v>0.4</v>
      </c>
    </row>
    <row r="2" spans="1:6" ht="13.5">
      <c r="A2" s="14">
        <v>0</v>
      </c>
      <c r="B2" s="15">
        <v>2</v>
      </c>
      <c r="C2" s="16">
        <v>1</v>
      </c>
      <c r="D2" s="1" t="s">
        <v>490</v>
      </c>
      <c r="E2" t="b">
        <f>AND(B2&gt;C2,C2&gt;A2)</f>
        <v>1</v>
      </c>
      <c r="F2" s="4">
        <v>0.3</v>
      </c>
    </row>
    <row r="3" spans="1:6" ht="13.5">
      <c r="A3" s="17">
        <v>1</v>
      </c>
      <c r="B3" s="18">
        <v>0</v>
      </c>
      <c r="C3" s="19">
        <v>2</v>
      </c>
      <c r="D3" s="1" t="s">
        <v>491</v>
      </c>
      <c r="E3" t="b">
        <f>AND(C3&gt;A3,A3&gt;B3)</f>
        <v>1</v>
      </c>
      <c r="F3" s="5">
        <v>0.3</v>
      </c>
    </row>
    <row r="4" spans="1:6" ht="13.5">
      <c r="A4" s="7" t="s">
        <v>486</v>
      </c>
      <c r="B4" s="7" t="s">
        <v>487</v>
      </c>
      <c r="C4" s="7" t="s">
        <v>488</v>
      </c>
      <c r="D4" s="7" t="s">
        <v>81</v>
      </c>
      <c r="F4" s="11" t="s">
        <v>30</v>
      </c>
    </row>
    <row r="5" spans="1:7" ht="13.5">
      <c r="A5">
        <f>SUMPRODUCT(A1:A3,$F$1:$F$3)</f>
        <v>1.1</v>
      </c>
      <c r="B5">
        <f>SUMPRODUCT(B1:B3,$F$1:$F$3)</f>
        <v>1</v>
      </c>
      <c r="C5">
        <f>SUMPRODUCT(C1:C3,$F$1:$F$3)</f>
        <v>0.8999999999999999</v>
      </c>
      <c r="D5" s="1" t="s">
        <v>499</v>
      </c>
      <c r="F5" t="b">
        <f>SUM(F1:F3)=1</f>
        <v>1</v>
      </c>
      <c r="G5" s="1" t="s">
        <v>498</v>
      </c>
    </row>
    <row r="6" ht="13.5">
      <c r="G6" s="1"/>
    </row>
    <row r="7" ht="13.5">
      <c r="A7" s="1" t="s">
        <v>500</v>
      </c>
    </row>
    <row r="8" spans="1:5" ht="13.5">
      <c r="A8" s="8">
        <v>10</v>
      </c>
      <c r="B8" t="s">
        <v>3</v>
      </c>
      <c r="E8" t="b">
        <f>A8&gt;0</f>
        <v>1</v>
      </c>
    </row>
    <row r="10" spans="2:5" ht="13.5">
      <c r="B10" t="s">
        <v>492</v>
      </c>
      <c r="E10" t="s">
        <v>496</v>
      </c>
    </row>
    <row r="11" spans="2:7" ht="13.5">
      <c r="B11" t="s">
        <v>493</v>
      </c>
      <c r="C11" s="1" t="s">
        <v>495</v>
      </c>
      <c r="D11" t="s">
        <v>494</v>
      </c>
      <c r="E11" t="s">
        <v>493</v>
      </c>
      <c r="F11" t="s">
        <v>495</v>
      </c>
      <c r="G11" t="s">
        <v>494</v>
      </c>
    </row>
    <row r="12" spans="1:7" ht="13.5">
      <c r="A12" s="1" t="s">
        <v>489</v>
      </c>
      <c r="B12">
        <f>MIN(MAX(B1-A1,-$A$8),$A$8)</f>
        <v>-1</v>
      </c>
      <c r="C12">
        <f>MIN(MAX(C1-A1,-$A$8),$A$8)</f>
        <v>-2</v>
      </c>
      <c r="D12">
        <f>MIN(MAX(C1-B1,-$A$8),$A$8)</f>
        <v>-1</v>
      </c>
      <c r="E12">
        <f aca="true" t="shared" si="0" ref="E12:G14">($A$8-B12)/(2*$A$8)</f>
        <v>0.55</v>
      </c>
      <c r="F12">
        <f t="shared" si="0"/>
        <v>0.6</v>
      </c>
      <c r="G12">
        <f t="shared" si="0"/>
        <v>0.55</v>
      </c>
    </row>
    <row r="13" spans="1:7" ht="13.5">
      <c r="A13" s="1" t="s">
        <v>490</v>
      </c>
      <c r="B13">
        <f>MIN(MAX(B2-A2,-$A$8),$A$8)</f>
        <v>2</v>
      </c>
      <c r="C13">
        <f>MIN(MAX(C2-A2,-$A$8),$A$8)</f>
        <v>1</v>
      </c>
      <c r="D13">
        <f>MIN(MAX(C2-B2,-$A$8),$A$8)</f>
        <v>-1</v>
      </c>
      <c r="E13">
        <f t="shared" si="0"/>
        <v>0.4</v>
      </c>
      <c r="F13">
        <f t="shared" si="0"/>
        <v>0.45</v>
      </c>
      <c r="G13">
        <f t="shared" si="0"/>
        <v>0.55</v>
      </c>
    </row>
    <row r="14" spans="1:7" ht="13.5">
      <c r="A14" s="1" t="s">
        <v>491</v>
      </c>
      <c r="B14">
        <f>MIN(MAX(B3-A3,-$A$8),$A$8)</f>
        <v>-1</v>
      </c>
      <c r="C14">
        <f>MIN(MAX(C3-A3,-$A$8),$A$8)</f>
        <v>1</v>
      </c>
      <c r="D14">
        <f>MIN(MAX(C3-B3,-$A$8),$A$8)</f>
        <v>2</v>
      </c>
      <c r="E14">
        <f t="shared" si="0"/>
        <v>0.55</v>
      </c>
      <c r="F14">
        <f t="shared" si="0"/>
        <v>0.45</v>
      </c>
      <c r="G14">
        <f t="shared" si="0"/>
        <v>0.4</v>
      </c>
    </row>
    <row r="15" spans="5:8" ht="13.5">
      <c r="E15" s="9">
        <f>SUMPRODUCT(E12:E14,$F$1:$F$3)</f>
        <v>0.505</v>
      </c>
      <c r="F15" s="9">
        <f>SUMPRODUCT(F12:F14,$F$1:$F$3)</f>
        <v>0.51</v>
      </c>
      <c r="G15" s="9">
        <f>SUMPRODUCT(G12:G14,$F$1:$F$3)</f>
        <v>0.505</v>
      </c>
      <c r="H15" t="s">
        <v>497</v>
      </c>
    </row>
    <row r="16" spans="5:7" ht="13.5">
      <c r="E16" s="25" t="str">
        <f>IF(E15&gt;0.5,"A&gt;&gt;B",IF(E15&lt;0.5,"B&gt;&gt;A","AB tie"))</f>
        <v>A&gt;&gt;B</v>
      </c>
      <c r="F16" s="25" t="str">
        <f>IF(F15&gt;0.5,"A&gt;&gt;C",IF(F15&lt;0.5,"C&gt;&gt;A","AC tie"))</f>
        <v>A&gt;&gt;C</v>
      </c>
      <c r="G16" s="25" t="str">
        <f>IF(G15&gt;0.5,"B&gt;&gt;C",IF(G15&lt;0.5,"C&gt;&gt;B","BC tie"))</f>
        <v>B&gt;&gt;C</v>
      </c>
    </row>
    <row r="17" ht="13.5">
      <c r="A17" s="39" t="str">
        <f>IF(AND(E15&gt;0.5,F15&gt;0.5),"A is Condorcet winner","")</f>
        <v>A is Condorcet winner</v>
      </c>
    </row>
    <row r="18" ht="13.5">
      <c r="B18" s="39">
        <f>IF(AND(G15&gt;0.5,E15&lt;0.5),"B is Condorcet winner","")</f>
      </c>
    </row>
    <row r="19" ht="13.5">
      <c r="C19" s="39">
        <f>IF(AND(F15&lt;0.5,G15&lt;0.5),"C is Condorcet winner","")</f>
      </c>
    </row>
    <row r="21" ht="13.5">
      <c r="A21" t="s">
        <v>551</v>
      </c>
    </row>
    <row r="22" ht="13.5">
      <c r="A22" t="s">
        <v>516</v>
      </c>
    </row>
    <row r="23" ht="13.5">
      <c r="A23" t="s">
        <v>517</v>
      </c>
    </row>
    <row r="24" spans="1:5" ht="13.5">
      <c r="A24" t="s">
        <v>518</v>
      </c>
      <c r="E24" s="1"/>
    </row>
    <row r="25" ht="13.5">
      <c r="A25" t="s">
        <v>519</v>
      </c>
    </row>
    <row r="26" ht="13.5">
      <c r="A26" t="s">
        <v>520</v>
      </c>
    </row>
    <row r="27" ht="13.5">
      <c r="A27" t="s">
        <v>521</v>
      </c>
    </row>
    <row r="28" ht="13.5">
      <c r="A28" t="s">
        <v>522</v>
      </c>
    </row>
    <row r="29" ht="13.5">
      <c r="A29" t="s">
        <v>523</v>
      </c>
    </row>
    <row r="30" ht="13.5">
      <c r="A30" t="s">
        <v>524</v>
      </c>
    </row>
    <row r="31" ht="13.5">
      <c r="A31" t="s">
        <v>525</v>
      </c>
    </row>
    <row r="32" ht="13.5">
      <c r="A32" t="s">
        <v>526</v>
      </c>
    </row>
    <row r="33" ht="13.5">
      <c r="A33" t="s">
        <v>527</v>
      </c>
    </row>
    <row r="34" ht="13.5">
      <c r="A34" t="s">
        <v>528</v>
      </c>
    </row>
    <row r="35" ht="13.5">
      <c r="A35" t="s">
        <v>529</v>
      </c>
    </row>
    <row r="36" ht="13.5">
      <c r="A36" t="s">
        <v>530</v>
      </c>
    </row>
    <row r="37" ht="13.5">
      <c r="A37" t="s">
        <v>531</v>
      </c>
    </row>
    <row r="38" ht="13.5">
      <c r="A38" t="s">
        <v>532</v>
      </c>
    </row>
    <row r="39" ht="13.5">
      <c r="A39" t="s">
        <v>533</v>
      </c>
    </row>
    <row r="40" ht="13.5">
      <c r="A40" t="s">
        <v>534</v>
      </c>
    </row>
    <row r="41" ht="13.5">
      <c r="A41" t="s">
        <v>535</v>
      </c>
    </row>
    <row r="42" ht="13.5">
      <c r="A42" t="s">
        <v>536</v>
      </c>
    </row>
    <row r="43" ht="13.5">
      <c r="A43" t="s">
        <v>537</v>
      </c>
    </row>
    <row r="44" ht="13.5">
      <c r="A44" t="s">
        <v>538</v>
      </c>
    </row>
    <row r="45" ht="13.5">
      <c r="A45" t="s">
        <v>539</v>
      </c>
    </row>
    <row r="46" ht="13.5">
      <c r="A46" t="s">
        <v>540</v>
      </c>
    </row>
    <row r="47" ht="13.5">
      <c r="A47" t="s">
        <v>541</v>
      </c>
    </row>
    <row r="48" ht="13.5">
      <c r="A48" t="s">
        <v>542</v>
      </c>
    </row>
    <row r="49" ht="13.5">
      <c r="A49" t="s">
        <v>543</v>
      </c>
    </row>
    <row r="50" ht="13.5">
      <c r="A50" t="s">
        <v>544</v>
      </c>
    </row>
    <row r="51" ht="13.5">
      <c r="A51" t="s">
        <v>545</v>
      </c>
    </row>
    <row r="52" ht="13.5">
      <c r="A52" t="s">
        <v>546</v>
      </c>
    </row>
    <row r="53" ht="13.5">
      <c r="A53" t="s">
        <v>547</v>
      </c>
    </row>
    <row r="54" ht="13.5">
      <c r="A54" t="s">
        <v>548</v>
      </c>
    </row>
    <row r="55" ht="13.5">
      <c r="A55" t="s">
        <v>549</v>
      </c>
    </row>
    <row r="56" ht="13.5">
      <c r="A56" t="s">
        <v>550</v>
      </c>
    </row>
  </sheetData>
  <printOptions gridLines="1" headings="1"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A1" sqref="A1"/>
    </sheetView>
  </sheetViews>
  <sheetFormatPr defaultColWidth="9.00390625" defaultRowHeight="13.5"/>
  <cols>
    <col min="1" max="5" width="8.875" style="0" customWidth="1"/>
    <col min="6" max="7" width="10.875" style="0" customWidth="1"/>
    <col min="8" max="16384" width="8.875" style="0" customWidth="1"/>
  </cols>
  <sheetData>
    <row r="1" spans="1:7" ht="13.5">
      <c r="A1" s="8">
        <v>1000</v>
      </c>
      <c r="B1" s="1" t="s">
        <v>25</v>
      </c>
      <c r="F1" t="s">
        <v>26</v>
      </c>
      <c r="G1" s="1"/>
    </row>
    <row r="2" spans="1:6" ht="13.5">
      <c r="A2" t="s">
        <v>27</v>
      </c>
      <c r="F2" s="1" t="s">
        <v>28</v>
      </c>
    </row>
    <row r="3" spans="1:7" ht="13.5">
      <c r="A3" s="1" t="s">
        <v>29</v>
      </c>
      <c r="B3" t="s">
        <v>30</v>
      </c>
      <c r="C3" s="7" t="s">
        <v>31</v>
      </c>
      <c r="D3" s="7" t="s">
        <v>32</v>
      </c>
      <c r="E3" s="7" t="s">
        <v>33</v>
      </c>
      <c r="F3" t="s">
        <v>34</v>
      </c>
      <c r="G3" s="1" t="s">
        <v>35</v>
      </c>
    </row>
    <row r="4" spans="1:7" ht="13.5">
      <c r="A4" s="1" t="s">
        <v>36</v>
      </c>
      <c r="B4">
        <v>0.4</v>
      </c>
      <c r="C4">
        <v>2</v>
      </c>
      <c r="D4">
        <v>1</v>
      </c>
      <c r="E4">
        <v>0</v>
      </c>
      <c r="F4">
        <f>MAX(C4-E4,0)</f>
        <v>2</v>
      </c>
      <c r="G4">
        <f>MAX(E4-C4,0)</f>
        <v>0</v>
      </c>
    </row>
    <row r="5" spans="1:7" ht="13.5">
      <c r="A5" s="1" t="s">
        <v>37</v>
      </c>
      <c r="B5">
        <v>0.3</v>
      </c>
      <c r="C5">
        <v>0</v>
      </c>
      <c r="D5">
        <v>2</v>
      </c>
      <c r="E5">
        <v>1</v>
      </c>
      <c r="F5">
        <f>MAX(C5-E5,0)</f>
        <v>0</v>
      </c>
      <c r="G5">
        <f>MAX(E5-C5,0)</f>
        <v>1</v>
      </c>
    </row>
    <row r="6" spans="1:7" ht="13.5">
      <c r="A6" s="1" t="s">
        <v>38</v>
      </c>
      <c r="B6">
        <v>0.3</v>
      </c>
      <c r="C6">
        <v>1</v>
      </c>
      <c r="D6">
        <v>0</v>
      </c>
      <c r="E6">
        <v>2</v>
      </c>
      <c r="F6">
        <f>MAX(C6-E6,0)</f>
        <v>0</v>
      </c>
      <c r="G6">
        <f>MAX(E6-C6,0)</f>
        <v>1</v>
      </c>
    </row>
    <row r="7" spans="1:7" ht="13.5">
      <c r="A7" s="1"/>
      <c r="C7" s="9">
        <f>SUMPRODUCT(C4:C6,$B$4:$B$6)</f>
        <v>1.1</v>
      </c>
      <c r="D7" s="9">
        <f>SUMPRODUCT(D4:D6,$B$4:$B$6)</f>
        <v>1</v>
      </c>
      <c r="E7" s="9">
        <f>SUMPRODUCT(E4:E6,$B$4:$B$6)</f>
        <v>0.8999999999999999</v>
      </c>
      <c r="F7" s="10" t="s">
        <v>39</v>
      </c>
      <c r="G7" s="9"/>
    </row>
    <row r="8" ht="13.5">
      <c r="A8" s="1" t="s">
        <v>40</v>
      </c>
    </row>
    <row r="9" spans="1:2" ht="13.5">
      <c r="A9">
        <v>1</v>
      </c>
      <c r="B9" t="s">
        <v>3</v>
      </c>
    </row>
    <row r="10" spans="5:6" ht="13.5">
      <c r="E10">
        <f>SUMPRODUCT(B4:B6,F4:F6)</f>
        <v>0.8</v>
      </c>
      <c r="F10" s="1" t="s">
        <v>41</v>
      </c>
    </row>
    <row r="11" spans="5:6" ht="13.5">
      <c r="E11">
        <f>SUMPRODUCT(B4:B6,G4:G6)</f>
        <v>0.6</v>
      </c>
      <c r="F11" s="1" t="s">
        <v>42</v>
      </c>
    </row>
    <row r="13" spans="1:7" ht="13.5">
      <c r="A13" s="8">
        <v>31.177884279223925</v>
      </c>
      <c r="B13" s="1" t="s">
        <v>43</v>
      </c>
      <c r="E13" s="11" t="s">
        <v>29</v>
      </c>
      <c r="F13" s="1" t="s">
        <v>44</v>
      </c>
      <c r="G13" t="s">
        <v>45</v>
      </c>
    </row>
    <row r="14" spans="1:7" ht="13.5">
      <c r="A14">
        <f>A13*((E11/E10)^(2/3))</f>
        <v>25.73677641611322</v>
      </c>
      <c r="B14" t="s">
        <v>46</v>
      </c>
      <c r="E14" s="11" t="s">
        <v>47</v>
      </c>
      <c r="F14">
        <f>MIN(F4*$A$16/$A$9,1)</f>
        <v>0.07794470929473966</v>
      </c>
      <c r="G14">
        <f>MIN(G4*$A$17/$A$9,1)</f>
        <v>0</v>
      </c>
    </row>
    <row r="15" spans="5:7" ht="13.5">
      <c r="E15" s="11" t="s">
        <v>48</v>
      </c>
      <c r="F15">
        <f>MIN(F5*$A$16/$A$9,1)</f>
        <v>0</v>
      </c>
      <c r="G15">
        <f>MIN(G5*$A$17/$A$9,1)</f>
        <v>0.04289462658791186</v>
      </c>
    </row>
    <row r="16" spans="1:7" ht="13.5">
      <c r="A16">
        <f>EXP(0-($A$13^0.5-$A$14^0.5)^2)*($A$13^0.5+$A$14^0.5)/(4*(A13*PI()*($A$13*$A$14)^0.5)^0.5)</f>
        <v>0.03897235464736983</v>
      </c>
      <c r="B16" t="s">
        <v>49</v>
      </c>
      <c r="E16" s="11" t="s">
        <v>50</v>
      </c>
      <c r="F16">
        <f>MIN(F6*$A$16/$A$9,1)</f>
        <v>0</v>
      </c>
      <c r="G16">
        <f>MIN(G6*$A$17/$A$9,1)</f>
        <v>0.04289462658791186</v>
      </c>
    </row>
    <row r="17" spans="1:2" ht="13.5">
      <c r="A17">
        <f>EXP(0-($A$13^0.5-$A$14^0.5)^2)*($A$13^0.5+$A$14^0.5)/(4*(A14*PI()*($A$13*$A$14)^0.5)^0.5)</f>
        <v>0.04289462658791186</v>
      </c>
      <c r="B17" s="1" t="s">
        <v>51</v>
      </c>
    </row>
    <row r="18" ht="13.5">
      <c r="E18" s="7" t="s">
        <v>52</v>
      </c>
    </row>
    <row r="19" spans="1:6" ht="13.5">
      <c r="A19">
        <f>$A$1*SUMPRODUCT(B4:B6,F14:F16)</f>
        <v>31.177883717895867</v>
      </c>
      <c r="B19" t="s">
        <v>53</v>
      </c>
      <c r="C19">
        <f>$A$1*E10*A16/$A$9</f>
        <v>31.177883717895867</v>
      </c>
      <c r="E19" s="8">
        <f>(A19-A13)</f>
        <v>-5.613280578131707E-07</v>
      </c>
      <c r="F19" s="1" t="s">
        <v>54</v>
      </c>
    </row>
    <row r="20" spans="1:5" ht="13.5">
      <c r="A20">
        <f>$A$1*SUMPRODUCT(B4:B6,G14:G16)</f>
        <v>25.736775952747116</v>
      </c>
      <c r="B20" t="s">
        <v>46</v>
      </c>
      <c r="C20">
        <f>$A$1*E11*A17/$A$9</f>
        <v>25.736775952747116</v>
      </c>
      <c r="E20">
        <f>A20-A14</f>
        <v>-4.63366102820828E-07</v>
      </c>
    </row>
    <row r="22" ht="13.5">
      <c r="A22" s="3" t="s">
        <v>55</v>
      </c>
    </row>
    <row r="23" ht="13.5">
      <c r="A23" t="s">
        <v>56</v>
      </c>
    </row>
    <row r="24" ht="13.5">
      <c r="A24" t="s">
        <v>57</v>
      </c>
    </row>
    <row r="25" ht="13.5">
      <c r="A25" t="s">
        <v>58</v>
      </c>
    </row>
    <row r="26" ht="13.5">
      <c r="A26" t="s">
        <v>59</v>
      </c>
    </row>
    <row r="27" spans="1:11" ht="13.5">
      <c r="A27" t="s">
        <v>60</v>
      </c>
      <c r="K27" s="28" t="s">
        <v>72</v>
      </c>
    </row>
    <row r="28" spans="1:11" ht="13.5">
      <c r="A28" t="s">
        <v>61</v>
      </c>
      <c r="K28" s="28" t="s">
        <v>75</v>
      </c>
    </row>
    <row r="29" spans="1:5" ht="13.5">
      <c r="A29" t="s">
        <v>62</v>
      </c>
      <c r="E29" t="s">
        <v>71</v>
      </c>
    </row>
    <row r="30" spans="1:5" ht="13.5">
      <c r="A30" t="s">
        <v>63</v>
      </c>
      <c r="E30" t="s">
        <v>73</v>
      </c>
    </row>
    <row r="31" spans="1:5" ht="13.5">
      <c r="A31" t="s">
        <v>64</v>
      </c>
      <c r="E31" t="s">
        <v>74</v>
      </c>
    </row>
    <row r="32" spans="1:5" ht="13.5">
      <c r="A32" t="s">
        <v>65</v>
      </c>
      <c r="E32" t="s">
        <v>76</v>
      </c>
    </row>
    <row r="33" spans="1:5" ht="13.5">
      <c r="A33" t="s">
        <v>66</v>
      </c>
      <c r="E33" t="s">
        <v>77</v>
      </c>
    </row>
    <row r="34" spans="1:5" ht="13.5">
      <c r="A34" t="s">
        <v>67</v>
      </c>
      <c r="E34" t="s">
        <v>78</v>
      </c>
    </row>
    <row r="35" spans="1:5" ht="13.5">
      <c r="A35" t="s">
        <v>68</v>
      </c>
      <c r="E35" t="s">
        <v>79</v>
      </c>
    </row>
    <row r="36" spans="1:5" ht="13.5">
      <c r="A36" s="3" t="s">
        <v>69</v>
      </c>
      <c r="E36" t="s">
        <v>80</v>
      </c>
    </row>
    <row r="37" ht="13.5">
      <c r="A37" t="s">
        <v>70</v>
      </c>
    </row>
  </sheetData>
  <printOptions gridLines="1" headings="1"/>
  <pageMargins left="1" right="0.75" top="1" bottom="1" header="0.5" footer="0.5"/>
  <pageSetup horizontalDpi="96" verticalDpi="96" orientation="landscape" r:id="rId1"/>
  <rowBreaks count="1" manualBreakCount="1">
    <brk id="3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255"/>
  <sheetViews>
    <sheetView workbookViewId="0" topLeftCell="A1">
      <selection activeCell="A1" sqref="A1"/>
    </sheetView>
  </sheetViews>
  <sheetFormatPr defaultColWidth="9.00390625" defaultRowHeight="13.5"/>
  <cols>
    <col min="1" max="8" width="8.875" style="0" customWidth="1"/>
    <col min="9" max="10" width="10.875" style="0" customWidth="1"/>
    <col min="11" max="11" width="11.875" style="0" customWidth="1"/>
  </cols>
  <sheetData>
    <row r="1" spans="1:10" ht="13.5">
      <c r="A1" s="8">
        <v>100</v>
      </c>
      <c r="B1" s="1" t="s">
        <v>206</v>
      </c>
      <c r="C1" s="1" t="s">
        <v>217</v>
      </c>
      <c r="I1" s="11" t="s">
        <v>223</v>
      </c>
      <c r="J1" t="s">
        <v>224</v>
      </c>
    </row>
    <row r="2" spans="2:10" ht="13.5">
      <c r="B2">
        <f>A1^0.5</f>
        <v>10</v>
      </c>
      <c r="C2" t="s">
        <v>212</v>
      </c>
      <c r="I2">
        <f>A1*A3</f>
        <v>66.66666666666666</v>
      </c>
      <c r="J2">
        <f>A1*A4</f>
        <v>33.333333333333336</v>
      </c>
    </row>
    <row r="3" spans="1:3" ht="13.5">
      <c r="A3" s="8">
        <f>2/3</f>
        <v>0.6666666666666666</v>
      </c>
      <c r="B3" s="1" t="s">
        <v>215</v>
      </c>
      <c r="C3" t="s">
        <v>213</v>
      </c>
    </row>
    <row r="4" spans="1:11" ht="13.5">
      <c r="A4">
        <f>1-A3</f>
        <v>0.33333333333333337</v>
      </c>
      <c r="B4" t="s">
        <v>216</v>
      </c>
      <c r="C4" t="s">
        <v>214</v>
      </c>
      <c r="H4" s="7" t="s">
        <v>221</v>
      </c>
      <c r="I4" s="1" t="s">
        <v>222</v>
      </c>
      <c r="J4" s="1" t="s">
        <v>222</v>
      </c>
      <c r="K4" t="s">
        <v>225</v>
      </c>
    </row>
    <row r="5" spans="2:11" ht="13.5">
      <c r="B5">
        <f>1-A3-A4</f>
        <v>0</v>
      </c>
      <c r="C5" t="s">
        <v>218</v>
      </c>
      <c r="H5">
        <v>0</v>
      </c>
      <c r="I5" s="26">
        <f>EXP(-I2)</f>
        <v>1.1143831578403522E-29</v>
      </c>
      <c r="J5" s="26">
        <f>EXP(-J2)</f>
        <v>3.3382377953649984E-15</v>
      </c>
      <c r="K5">
        <f>I5*J5</f>
        <v>3.7200759760208625E-44</v>
      </c>
    </row>
    <row r="6" spans="3:11" ht="13.5">
      <c r="C6" s="27">
        <f>IF(MAX(A7:A8)&lt;200,"","n is too large!!!!")</f>
      </c>
      <c r="H6">
        <v>1</v>
      </c>
      <c r="I6">
        <f>I5*I$2/$H6</f>
        <v>7.429221052269014E-28</v>
      </c>
      <c r="J6">
        <f>J5*J$2/$H6</f>
        <v>1.1127459317883329E-13</v>
      </c>
      <c r="K6">
        <f>I6*J6</f>
        <v>8.266835502268584E-41</v>
      </c>
    </row>
    <row r="7" spans="1:11" ht="13.5">
      <c r="A7">
        <f>A1*A3</f>
        <v>66.66666666666666</v>
      </c>
      <c r="B7" t="s">
        <v>219</v>
      </c>
      <c r="H7">
        <v>2</v>
      </c>
      <c r="I7">
        <f aca="true" t="shared" si="0" ref="I7:I70">I6*I$2/$H7</f>
        <v>2.4764070174230042E-26</v>
      </c>
      <c r="J7">
        <f aca="true" t="shared" si="1" ref="J7:J70">J6*J$2/$H7</f>
        <v>1.854576552980555E-12</v>
      </c>
      <c r="K7">
        <f aca="true" t="shared" si="2" ref="K7:K70">I7*J7</f>
        <v>4.5926863901492125E-38</v>
      </c>
    </row>
    <row r="8" spans="1:11" ht="13.5">
      <c r="A8">
        <f>A1*A4</f>
        <v>33.333333333333336</v>
      </c>
      <c r="B8" t="s">
        <v>220</v>
      </c>
      <c r="H8">
        <v>3</v>
      </c>
      <c r="I8">
        <f t="shared" si="0"/>
        <v>5.503126705384453E-25</v>
      </c>
      <c r="J8">
        <f t="shared" si="1"/>
        <v>2.060640614422839E-11</v>
      </c>
      <c r="K8">
        <f t="shared" si="2"/>
        <v>1.1339966395430154E-35</v>
      </c>
    </row>
    <row r="9" spans="2:11" ht="13.5">
      <c r="B9">
        <f>(A7*A8)^0.5</f>
        <v>47.14045207910317</v>
      </c>
      <c r="C9" s="1" t="s">
        <v>227</v>
      </c>
      <c r="H9">
        <v>4</v>
      </c>
      <c r="I9">
        <f t="shared" si="0"/>
        <v>9.17187784230742E-24</v>
      </c>
      <c r="J9">
        <f t="shared" si="1"/>
        <v>1.7172005120190327E-10</v>
      </c>
      <c r="K9">
        <f t="shared" si="2"/>
        <v>1.5749953326986324E-33</v>
      </c>
    </row>
    <row r="10" spans="8:11" ht="13.5">
      <c r="H10">
        <v>5</v>
      </c>
      <c r="I10">
        <f t="shared" si="0"/>
        <v>1.2229170456409892E-22</v>
      </c>
      <c r="J10">
        <f t="shared" si="1"/>
        <v>1.1448003413460219E-09</v>
      </c>
      <c r="K10">
        <f t="shared" si="2"/>
        <v>1.399995851287673E-31</v>
      </c>
    </row>
    <row r="11" spans="1:11" ht="13.5">
      <c r="A11" s="6">
        <f>0.5*(SUM(K5:K255)+SUMPRODUCT(I5:I254,J6:J255))</f>
        <v>0.00011502132942417886</v>
      </c>
      <c r="B11" s="1" t="s">
        <v>230</v>
      </c>
      <c r="D11">
        <f>EXP($A$19*$A$1)*($A$3^0.5+$A$4^0.5)/(4*(PI()*$B$9*A3)^0.5)</f>
        <v>0.00011512168105051961</v>
      </c>
      <c r="E11" s="1" t="s">
        <v>228</v>
      </c>
      <c r="H11">
        <v>6</v>
      </c>
      <c r="I11">
        <f t="shared" si="0"/>
        <v>1.3587967173788767E-21</v>
      </c>
      <c r="J11">
        <f t="shared" si="1"/>
        <v>6.360001896366789E-09</v>
      </c>
      <c r="K11">
        <f t="shared" si="2"/>
        <v>8.641949699306623E-30</v>
      </c>
    </row>
    <row r="12" spans="1:11" ht="13.5">
      <c r="A12" s="6">
        <f>0.5*(SUM(K5:K255)+SUMPRODUCT(I6:I255,J5:J254))</f>
        <v>0.00016251599068262443</v>
      </c>
      <c r="B12" s="1" t="s">
        <v>231</v>
      </c>
      <c r="D12">
        <f>EXP($A$19*$A$1)*($A$3^0.5+$A$4^0.5)/(4*(PI()*$B$9*A4)^0.5)</f>
        <v>0.00016280664266483456</v>
      </c>
      <c r="E12" s="1" t="s">
        <v>229</v>
      </c>
      <c r="H12">
        <v>7</v>
      </c>
      <c r="I12">
        <f t="shared" si="0"/>
        <v>1.2940921117894063E-20</v>
      </c>
      <c r="J12">
        <f t="shared" si="1"/>
        <v>3.028572331603233E-08</v>
      </c>
      <c r="K12">
        <f t="shared" si="2"/>
        <v>3.919251564311394E-28</v>
      </c>
    </row>
    <row r="13" spans="8:11" ht="13.5">
      <c r="H13">
        <v>8</v>
      </c>
      <c r="I13">
        <f t="shared" si="0"/>
        <v>1.0784100931578384E-19</v>
      </c>
      <c r="J13">
        <f t="shared" si="1"/>
        <v>1.261905138168014E-07</v>
      </c>
      <c r="K13">
        <f t="shared" si="2"/>
        <v>1.3608512376081228E-26</v>
      </c>
    </row>
    <row r="14" spans="1:11" ht="13.5">
      <c r="A14">
        <f>A11/A12</f>
        <v>0.7077539197284448</v>
      </c>
      <c r="B14" s="1" t="s">
        <v>232</v>
      </c>
      <c r="H14">
        <v>9</v>
      </c>
      <c r="I14">
        <f t="shared" si="0"/>
        <v>7.988222912280283E-19</v>
      </c>
      <c r="J14">
        <f t="shared" si="1"/>
        <v>4.6737227339556076E-07</v>
      </c>
      <c r="K14">
        <f t="shared" si="2"/>
        <v>3.7334739029029427E-25</v>
      </c>
    </row>
    <row r="15" spans="1:11" ht="13.5">
      <c r="A15">
        <f>(A4/A3)^0.5</f>
        <v>0.7071067811865476</v>
      </c>
      <c r="B15" s="1" t="s">
        <v>226</v>
      </c>
      <c r="H15">
        <v>10</v>
      </c>
      <c r="I15">
        <f t="shared" si="0"/>
        <v>5.3254819415201875E-18</v>
      </c>
      <c r="J15">
        <f t="shared" si="1"/>
        <v>1.5579075779852027E-06</v>
      </c>
      <c r="K15">
        <f t="shared" si="2"/>
        <v>8.29660867311765E-24</v>
      </c>
    </row>
    <row r="16" spans="8:11" ht="13.5">
      <c r="H16">
        <v>11</v>
      </c>
      <c r="I16">
        <f t="shared" si="0"/>
        <v>3.227564813042538E-17</v>
      </c>
      <c r="J16">
        <f t="shared" si="1"/>
        <v>4.720932054500615E-06</v>
      </c>
      <c r="K16">
        <f t="shared" si="2"/>
        <v>1.52371141838708E-22</v>
      </c>
    </row>
    <row r="17" spans="1:11" ht="13.5">
      <c r="A17">
        <f>LN(A11)/$A$1</f>
        <v>-0.09070392973545331</v>
      </c>
      <c r="B17" s="1" t="s">
        <v>234</v>
      </c>
      <c r="H17">
        <v>12</v>
      </c>
      <c r="I17">
        <f t="shared" si="0"/>
        <v>1.7930915628014097E-16</v>
      </c>
      <c r="J17">
        <f t="shared" si="1"/>
        <v>1.3113700151390596E-05</v>
      </c>
      <c r="K17">
        <f t="shared" si="2"/>
        <v>2.351406509856605E-21</v>
      </c>
    </row>
    <row r="18" spans="1:11" ht="13.5">
      <c r="A18">
        <f>LN(A12)/$A$1</f>
        <v>-0.08724734156835093</v>
      </c>
      <c r="B18" s="1" t="s">
        <v>235</v>
      </c>
      <c r="H18">
        <v>13</v>
      </c>
      <c r="I18">
        <f t="shared" si="0"/>
        <v>9.195341347699536E-16</v>
      </c>
      <c r="J18">
        <f t="shared" si="1"/>
        <v>3.362487218305281E-05</v>
      </c>
      <c r="K18">
        <f t="shared" si="2"/>
        <v>3.091921774959375E-20</v>
      </c>
    </row>
    <row r="19" spans="1:11" ht="13.5">
      <c r="A19">
        <f>2*(A3*A4)^0.5-A3-A4</f>
        <v>-0.057190958417936644</v>
      </c>
      <c r="B19">
        <f>0-(A3^0.5-A4^0.5)^2</f>
        <v>-0.057190958417936595</v>
      </c>
      <c r="C19" s="1" t="s">
        <v>233</v>
      </c>
      <c r="H19">
        <v>14</v>
      </c>
      <c r="I19">
        <f t="shared" si="0"/>
        <v>4.378733975095016E-15</v>
      </c>
      <c r="J19">
        <f t="shared" si="1"/>
        <v>8.005921948345909E-05</v>
      </c>
      <c r="K19">
        <f t="shared" si="2"/>
        <v>3.505580243718112E-19</v>
      </c>
    </row>
    <row r="20" spans="8:11" ht="13.5">
      <c r="H20">
        <v>15</v>
      </c>
      <c r="I20">
        <f t="shared" si="0"/>
        <v>1.946103988931118E-14</v>
      </c>
      <c r="J20">
        <f t="shared" si="1"/>
        <v>0.0001779093766299091</v>
      </c>
      <c r="K20">
        <f t="shared" si="2"/>
        <v>3.4623014752771475E-18</v>
      </c>
    </row>
    <row r="21" spans="1:11" ht="13.5">
      <c r="A21" s="1" t="s">
        <v>110</v>
      </c>
      <c r="H21">
        <v>16</v>
      </c>
      <c r="I21">
        <f t="shared" si="0"/>
        <v>8.108766620546324E-14</v>
      </c>
      <c r="J21">
        <f t="shared" si="1"/>
        <v>0.000370644534645644</v>
      </c>
      <c r="K21">
        <f t="shared" si="2"/>
        <v>3.0054700306225235E-17</v>
      </c>
    </row>
    <row r="22" spans="1:11" ht="13.5">
      <c r="A22" t="s">
        <v>236</v>
      </c>
      <c r="H22">
        <v>17</v>
      </c>
      <c r="I22">
        <f t="shared" si="0"/>
        <v>3.179908478645617E-13</v>
      </c>
      <c r="J22">
        <f t="shared" si="1"/>
        <v>0.0007267539895012628</v>
      </c>
      <c r="K22">
        <f t="shared" si="2"/>
        <v>2.3110111731045935E-16</v>
      </c>
    </row>
    <row r="23" spans="1:11" ht="13.5">
      <c r="A23" t="s">
        <v>237</v>
      </c>
      <c r="H23">
        <v>18</v>
      </c>
      <c r="I23">
        <f t="shared" si="0"/>
        <v>1.1777438809798579E-12</v>
      </c>
      <c r="J23">
        <f t="shared" si="1"/>
        <v>0.001345840721298635</v>
      </c>
      <c r="K23">
        <f t="shared" si="2"/>
        <v>1.5850556742829857E-15</v>
      </c>
    </row>
    <row r="24" spans="1:11" ht="13.5">
      <c r="A24" t="s">
        <v>238</v>
      </c>
      <c r="H24">
        <v>19</v>
      </c>
      <c r="I24">
        <f t="shared" si="0"/>
        <v>4.132434670104764E-12</v>
      </c>
      <c r="J24">
        <f t="shared" si="1"/>
        <v>0.0023611240724537457</v>
      </c>
      <c r="K24">
        <f t="shared" si="2"/>
        <v>9.757190977426812E-15</v>
      </c>
    </row>
    <row r="25" spans="1:11" ht="13.5">
      <c r="A25" t="s">
        <v>239</v>
      </c>
      <c r="H25">
        <v>20</v>
      </c>
      <c r="I25">
        <f t="shared" si="0"/>
        <v>1.3774782233682545E-11</v>
      </c>
      <c r="J25">
        <f t="shared" si="1"/>
        <v>0.00393520678742291</v>
      </c>
      <c r="K25">
        <f t="shared" si="2"/>
        <v>5.4206616541260067E-14</v>
      </c>
    </row>
    <row r="26" spans="1:11" ht="13.5">
      <c r="A26" t="s">
        <v>240</v>
      </c>
      <c r="H26">
        <v>21</v>
      </c>
      <c r="I26">
        <f t="shared" si="0"/>
        <v>4.372946740851601E-11</v>
      </c>
      <c r="J26">
        <f t="shared" si="1"/>
        <v>0.006246359980036366</v>
      </c>
      <c r="K26">
        <f t="shared" si="2"/>
        <v>2.73149995168859E-13</v>
      </c>
    </row>
    <row r="27" spans="1:11" ht="13.5">
      <c r="A27" t="s">
        <v>241</v>
      </c>
      <c r="H27">
        <v>22</v>
      </c>
      <c r="I27">
        <f t="shared" si="0"/>
        <v>1.3251353760156365E-10</v>
      </c>
      <c r="J27">
        <f t="shared" si="1"/>
        <v>0.009464181787933889</v>
      </c>
      <c r="K27">
        <f t="shared" si="2"/>
        <v>1.2541322092234113E-12</v>
      </c>
    </row>
    <row r="28" spans="1:11" ht="13.5">
      <c r="A28" t="s">
        <v>242</v>
      </c>
      <c r="H28">
        <v>23</v>
      </c>
      <c r="I28">
        <f t="shared" si="0"/>
        <v>3.840972104393148E-10</v>
      </c>
      <c r="J28">
        <f t="shared" si="1"/>
        <v>0.01371620548975926</v>
      </c>
      <c r="K28">
        <f t="shared" si="2"/>
        <v>5.268356266428948E-12</v>
      </c>
    </row>
    <row r="29" spans="1:11" ht="13.5">
      <c r="A29" t="s">
        <v>243</v>
      </c>
      <c r="H29">
        <v>24</v>
      </c>
      <c r="I29">
        <f t="shared" si="0"/>
        <v>1.0669366956647632E-09</v>
      </c>
      <c r="J29">
        <f t="shared" si="1"/>
        <v>0.019050285402443416</v>
      </c>
      <c r="K29">
        <f t="shared" si="2"/>
        <v>2.0325448558753652E-11</v>
      </c>
    </row>
    <row r="30" spans="1:11" ht="13.5">
      <c r="A30" t="s">
        <v>244</v>
      </c>
      <c r="H30">
        <v>25</v>
      </c>
      <c r="I30">
        <f t="shared" si="0"/>
        <v>2.8451645217727014E-09</v>
      </c>
      <c r="J30">
        <f t="shared" si="1"/>
        <v>0.02540038053659122</v>
      </c>
      <c r="K30">
        <f t="shared" si="2"/>
        <v>7.226826154223519E-11</v>
      </c>
    </row>
    <row r="31" spans="1:11" ht="13.5">
      <c r="A31" t="s">
        <v>245</v>
      </c>
      <c r="H31">
        <v>26</v>
      </c>
      <c r="I31">
        <f t="shared" si="0"/>
        <v>7.295293645571028E-09</v>
      </c>
      <c r="J31">
        <f t="shared" si="1"/>
        <v>0.03256459043152721</v>
      </c>
      <c r="K31">
        <f t="shared" si="2"/>
        <v>2.375682496457435E-10</v>
      </c>
    </row>
    <row r="32" spans="1:11" ht="13.5">
      <c r="A32" t="s">
        <v>246</v>
      </c>
      <c r="H32">
        <v>27</v>
      </c>
      <c r="I32">
        <f t="shared" si="0"/>
        <v>1.8013070729805003E-08</v>
      </c>
      <c r="J32">
        <f t="shared" si="1"/>
        <v>0.04020319806361384</v>
      </c>
      <c r="K32">
        <f t="shared" si="2"/>
        <v>7.241830502842356E-10</v>
      </c>
    </row>
    <row r="33" spans="1:11" ht="13.5">
      <c r="A33" t="s">
        <v>247</v>
      </c>
      <c r="H33">
        <v>28</v>
      </c>
      <c r="I33">
        <f t="shared" si="0"/>
        <v>4.288826364239286E-08</v>
      </c>
      <c r="J33">
        <f t="shared" si="1"/>
        <v>0.04786095007573076</v>
      </c>
      <c r="K33">
        <f t="shared" si="2"/>
        <v>2.0526730450233434E-09</v>
      </c>
    </row>
    <row r="34" spans="1:11" ht="13.5">
      <c r="A34" t="s">
        <v>248</v>
      </c>
      <c r="H34">
        <v>29</v>
      </c>
      <c r="I34">
        <f t="shared" si="0"/>
        <v>9.859370952274218E-08</v>
      </c>
      <c r="J34">
        <f t="shared" si="1"/>
        <v>0.05501258629394341</v>
      </c>
      <c r="K34">
        <f t="shared" si="2"/>
        <v>5.423894953159844E-09</v>
      </c>
    </row>
    <row r="35" spans="1:11" ht="13.5">
      <c r="A35" t="s">
        <v>249</v>
      </c>
      <c r="H35">
        <v>30</v>
      </c>
      <c r="I35">
        <f t="shared" si="0"/>
        <v>2.1909713227276035E-07</v>
      </c>
      <c r="J35">
        <f t="shared" si="1"/>
        <v>0.06112509588215934</v>
      </c>
      <c r="K35">
        <f t="shared" si="2"/>
        <v>1.3392333217678625E-08</v>
      </c>
    </row>
    <row r="36" spans="1:11" ht="13.5">
      <c r="A36" t="s">
        <v>250</v>
      </c>
      <c r="H36">
        <v>31</v>
      </c>
      <c r="I36">
        <f t="shared" si="0"/>
        <v>4.711766285435706E-07</v>
      </c>
      <c r="J36">
        <f t="shared" si="1"/>
        <v>0.06572590955070898</v>
      </c>
      <c r="K36">
        <f t="shared" si="2"/>
        <v>3.096851247006272E-08</v>
      </c>
    </row>
    <row r="37" spans="1:11" ht="13.5">
      <c r="A37" t="s">
        <v>251</v>
      </c>
      <c r="H37">
        <v>32</v>
      </c>
      <c r="I37">
        <f t="shared" si="0"/>
        <v>9.816179761324385E-07</v>
      </c>
      <c r="J37">
        <f t="shared" si="1"/>
        <v>0.06846448911532185</v>
      </c>
      <c r="K37">
        <f t="shared" si="2"/>
        <v>6.72059732423236E-08</v>
      </c>
    </row>
    <row r="38" spans="1:11" ht="13.5">
      <c r="A38" t="s">
        <v>252</v>
      </c>
      <c r="H38">
        <v>33</v>
      </c>
      <c r="I38">
        <f t="shared" si="0"/>
        <v>1.9830666184493704E-06</v>
      </c>
      <c r="J38">
        <f t="shared" si="1"/>
        <v>0.06915604961143622</v>
      </c>
      <c r="K38">
        <f t="shared" si="2"/>
        <v>1.371410534482677E-07</v>
      </c>
    </row>
    <row r="39" spans="1:11" ht="13.5">
      <c r="A39" t="s">
        <v>253</v>
      </c>
      <c r="H39">
        <v>34</v>
      </c>
      <c r="I39">
        <f t="shared" si="0"/>
        <v>3.888365918528177E-06</v>
      </c>
      <c r="J39">
        <f t="shared" si="1"/>
        <v>0.06780004863866296</v>
      </c>
      <c r="K39">
        <f t="shared" si="2"/>
        <v>2.6363139840112974E-07</v>
      </c>
    </row>
    <row r="40" spans="1:11" ht="13.5">
      <c r="A40" t="s">
        <v>254</v>
      </c>
      <c r="H40">
        <v>35</v>
      </c>
      <c r="I40">
        <f t="shared" si="0"/>
        <v>7.406411273387003E-06</v>
      </c>
      <c r="J40">
        <f t="shared" si="1"/>
        <v>0.06457147489396473</v>
      </c>
      <c r="K40">
        <f t="shared" si="2"/>
        <v>4.782428995938861E-07</v>
      </c>
    </row>
    <row r="41" spans="1:11" ht="13.5">
      <c r="A41" t="s">
        <v>255</v>
      </c>
      <c r="H41">
        <v>36</v>
      </c>
      <c r="I41">
        <f t="shared" si="0"/>
        <v>1.3715576432198152E-05</v>
      </c>
      <c r="J41">
        <f t="shared" si="1"/>
        <v>0.05978840267959698</v>
      </c>
      <c r="K41">
        <f t="shared" si="2"/>
        <v>8.200324067110531E-07</v>
      </c>
    </row>
    <row r="42" spans="1:11" ht="13.5">
      <c r="A42" t="s">
        <v>256</v>
      </c>
      <c r="H42">
        <v>37</v>
      </c>
      <c r="I42">
        <f t="shared" si="0"/>
        <v>2.4712750328284954E-05</v>
      </c>
      <c r="J42">
        <f t="shared" si="1"/>
        <v>0.05386342583747476</v>
      </c>
      <c r="K42">
        <f t="shared" si="2"/>
        <v>1.3311133945476067E-06</v>
      </c>
    </row>
    <row r="43" spans="1:11" ht="13.5">
      <c r="A43" t="s">
        <v>257</v>
      </c>
      <c r="H43">
        <v>38</v>
      </c>
      <c r="I43">
        <f t="shared" si="0"/>
        <v>4.335570233032447E-05</v>
      </c>
      <c r="J43">
        <f t="shared" si="1"/>
        <v>0.04724861915567962</v>
      </c>
      <c r="K43">
        <f t="shared" si="2"/>
        <v>2.0484970676325125E-06</v>
      </c>
    </row>
    <row r="44" spans="1:11" ht="13.5">
      <c r="A44" s="1" t="s">
        <v>258</v>
      </c>
      <c r="H44">
        <v>39</v>
      </c>
      <c r="I44">
        <f t="shared" si="0"/>
        <v>7.411231167576832E-05</v>
      </c>
      <c r="J44">
        <f t="shared" si="1"/>
        <v>0.040383435175794555</v>
      </c>
      <c r="K44">
        <f t="shared" si="2"/>
        <v>2.992909734286672E-06</v>
      </c>
    </row>
    <row r="45" spans="8:11" ht="13.5">
      <c r="H45">
        <v>40</v>
      </c>
      <c r="I45">
        <f t="shared" si="0"/>
        <v>0.00012352051945961384</v>
      </c>
      <c r="J45">
        <f t="shared" si="1"/>
        <v>0.03365286264649546</v>
      </c>
      <c r="K45">
        <f t="shared" si="2"/>
        <v>4.156819075398154E-06</v>
      </c>
    </row>
    <row r="46" spans="8:11" ht="13.5">
      <c r="H46">
        <v>41</v>
      </c>
      <c r="I46">
        <f t="shared" si="0"/>
        <v>0.00020084637310506314</v>
      </c>
      <c r="J46">
        <f t="shared" si="1"/>
        <v>0.02736005093211013</v>
      </c>
      <c r="K46">
        <f t="shared" si="2"/>
        <v>5.495166997684121E-06</v>
      </c>
    </row>
    <row r="47" spans="8:11" ht="13.5">
      <c r="H47">
        <v>42</v>
      </c>
      <c r="I47">
        <f t="shared" si="0"/>
        <v>0.0003188037668334335</v>
      </c>
      <c r="J47">
        <f t="shared" si="1"/>
        <v>0.021714326136595342</v>
      </c>
      <c r="K47">
        <f t="shared" si="2"/>
        <v>6.922608966596272E-06</v>
      </c>
    </row>
    <row r="48" spans="8:11" ht="13.5">
      <c r="H48">
        <v>43</v>
      </c>
      <c r="I48">
        <f t="shared" si="0"/>
        <v>0.0004942694059433077</v>
      </c>
      <c r="J48">
        <f t="shared" si="1"/>
        <v>0.016832810958601042</v>
      </c>
      <c r="K48">
        <f t="shared" si="2"/>
        <v>8.319943472863736E-06</v>
      </c>
    </row>
    <row r="49" spans="8:11" ht="13.5">
      <c r="H49">
        <v>44</v>
      </c>
      <c r="I49">
        <f t="shared" si="0"/>
        <v>0.0007488930393080418</v>
      </c>
      <c r="J49">
        <f t="shared" si="1"/>
        <v>0.012752129514091699</v>
      </c>
      <c r="K49">
        <f t="shared" si="2"/>
        <v>9.549981029457915E-06</v>
      </c>
    </row>
    <row r="50" spans="8:11" ht="13.5">
      <c r="H50">
        <v>45</v>
      </c>
      <c r="I50">
        <f t="shared" si="0"/>
        <v>0.001109471169345247</v>
      </c>
      <c r="J50">
        <f t="shared" si="1"/>
        <v>0.009446021862290148</v>
      </c>
      <c r="K50">
        <f t="shared" si="2"/>
        <v>1.0480088921215817E-05</v>
      </c>
    </row>
    <row r="51" spans="8:11" ht="13.5">
      <c r="H51">
        <v>46</v>
      </c>
      <c r="I51">
        <f t="shared" si="0"/>
        <v>0.0016079292309351403</v>
      </c>
      <c r="J51">
        <f t="shared" si="1"/>
        <v>0.0068449433784711225</v>
      </c>
      <c r="K51">
        <f t="shared" si="2"/>
        <v>1.1006184542339652E-05</v>
      </c>
    </row>
    <row r="52" spans="8:11" ht="13.5">
      <c r="H52">
        <v>47</v>
      </c>
      <c r="I52">
        <f t="shared" si="0"/>
        <v>0.002280750682177504</v>
      </c>
      <c r="J52">
        <f t="shared" si="1"/>
        <v>0.004854569771965336</v>
      </c>
      <c r="K52">
        <f t="shared" si="2"/>
        <v>1.107206331908823E-05</v>
      </c>
    </row>
    <row r="53" spans="8:11" ht="13.5">
      <c r="H53">
        <v>48</v>
      </c>
      <c r="I53">
        <f t="shared" si="0"/>
        <v>0.003167709280802088</v>
      </c>
      <c r="J53">
        <f t="shared" si="1"/>
        <v>0.003371229008309261</v>
      </c>
      <c r="K53">
        <f t="shared" si="2"/>
        <v>1.0679073417330467E-05</v>
      </c>
    </row>
    <row r="54" spans="8:11" ht="13.5">
      <c r="H54">
        <v>49</v>
      </c>
      <c r="I54">
        <f t="shared" si="0"/>
        <v>0.004309808545308963</v>
      </c>
      <c r="J54">
        <f t="shared" si="1"/>
        <v>0.0022933530668770487</v>
      </c>
      <c r="K54">
        <f t="shared" si="2"/>
        <v>9.883912645037222E-06</v>
      </c>
    </row>
    <row r="55" spans="8:11" ht="13.5">
      <c r="H55">
        <v>50</v>
      </c>
      <c r="I55">
        <f t="shared" si="0"/>
        <v>0.005746411393745283</v>
      </c>
      <c r="J55">
        <f t="shared" si="1"/>
        <v>0.0015289020445846994</v>
      </c>
      <c r="K55">
        <f t="shared" si="2"/>
        <v>8.785700128921975E-06</v>
      </c>
    </row>
    <row r="56" spans="8:11" ht="13.5">
      <c r="H56">
        <v>51</v>
      </c>
      <c r="I56">
        <f t="shared" si="0"/>
        <v>0.0075116488807127875</v>
      </c>
      <c r="J56">
        <f t="shared" si="1"/>
        <v>0.000999282382081503</v>
      </c>
      <c r="K56">
        <f t="shared" si="2"/>
        <v>7.50625838687853E-06</v>
      </c>
    </row>
    <row r="57" spans="8:11" ht="13.5">
      <c r="H57">
        <v>52</v>
      </c>
      <c r="I57">
        <f t="shared" si="0"/>
        <v>0.009630319077836905</v>
      </c>
      <c r="J57">
        <f t="shared" si="1"/>
        <v>0.000640565629539425</v>
      </c>
      <c r="K57">
        <f t="shared" si="2"/>
        <v>6.168851402760132E-06</v>
      </c>
    </row>
    <row r="58" spans="8:11" ht="13.5">
      <c r="H58">
        <v>53</v>
      </c>
      <c r="I58">
        <f t="shared" si="0"/>
        <v>0.012113608902939502</v>
      </c>
      <c r="J58">
        <f t="shared" si="1"/>
        <v>0.0004028714651191352</v>
      </c>
      <c r="K58">
        <f t="shared" si="2"/>
        <v>4.880227366607438E-06</v>
      </c>
    </row>
    <row r="59" spans="8:11" ht="13.5">
      <c r="H59">
        <v>54</v>
      </c>
      <c r="I59">
        <f t="shared" si="0"/>
        <v>0.014955072719678397</v>
      </c>
      <c r="J59">
        <f t="shared" si="1"/>
        <v>0.0002486860895797131</v>
      </c>
      <c r="K59">
        <f t="shared" si="2"/>
        <v>3.719118554037065E-06</v>
      </c>
    </row>
    <row r="60" spans="8:11" ht="13.5">
      <c r="H60">
        <v>55</v>
      </c>
      <c r="I60">
        <f t="shared" si="0"/>
        <v>0.018127360872337447</v>
      </c>
      <c r="J60">
        <f t="shared" si="1"/>
        <v>0.0001507188421695231</v>
      </c>
      <c r="K60">
        <f t="shared" si="2"/>
        <v>2.732134842267816E-06</v>
      </c>
    </row>
    <row r="61" spans="8:11" ht="13.5">
      <c r="H61">
        <v>56</v>
      </c>
      <c r="I61">
        <f t="shared" si="0"/>
        <v>0.021580191514687434</v>
      </c>
      <c r="J61">
        <f t="shared" si="1"/>
        <v>8.971359652947804E-05</v>
      </c>
      <c r="K61">
        <f t="shared" si="2"/>
        <v>1.936036594577534E-06</v>
      </c>
    </row>
    <row r="62" spans="8:11" ht="13.5">
      <c r="H62">
        <v>57</v>
      </c>
      <c r="I62">
        <f t="shared" si="0"/>
        <v>0.025239990075657814</v>
      </c>
      <c r="J62">
        <f t="shared" si="1"/>
        <v>5.2464091537706456E-05</v>
      </c>
      <c r="K62">
        <f t="shared" si="2"/>
        <v>1.324193149740114E-06</v>
      </c>
    </row>
    <row r="63" spans="8:11" ht="13.5">
      <c r="H63">
        <v>58</v>
      </c>
      <c r="I63">
        <f t="shared" si="0"/>
        <v>0.029011482845583688</v>
      </c>
      <c r="J63">
        <f t="shared" si="1"/>
        <v>3.0151776745808308E-05</v>
      </c>
      <c r="K63">
        <f t="shared" si="2"/>
        <v>8.747477538248869E-07</v>
      </c>
    </row>
    <row r="64" spans="8:11" ht="13.5">
      <c r="H64">
        <v>59</v>
      </c>
      <c r="I64">
        <f t="shared" si="0"/>
        <v>0.03278133654868213</v>
      </c>
      <c r="J64">
        <f t="shared" si="1"/>
        <v>1.7034902116275883E-05</v>
      </c>
      <c r="K64">
        <f t="shared" si="2"/>
        <v>5.584268593474971E-07</v>
      </c>
    </row>
    <row r="65" spans="8:11" ht="13.5">
      <c r="H65">
        <v>60</v>
      </c>
      <c r="I65">
        <f t="shared" si="0"/>
        <v>0.03642370727631347</v>
      </c>
      <c r="J65">
        <f t="shared" si="1"/>
        <v>9.463834509042158E-06</v>
      </c>
      <c r="K65">
        <f t="shared" si="2"/>
        <v>3.447079378688254E-07</v>
      </c>
    </row>
    <row r="66" spans="8:11" ht="13.5">
      <c r="H66">
        <v>61</v>
      </c>
      <c r="I66">
        <f t="shared" si="0"/>
        <v>0.039807330356626744</v>
      </c>
      <c r="J66">
        <f t="shared" si="1"/>
        <v>5.171494267236152E-06</v>
      </c>
      <c r="K66">
        <f t="shared" si="2"/>
        <v>2.0586338073327086E-07</v>
      </c>
    </row>
    <row r="67" spans="8:11" ht="13.5">
      <c r="H67">
        <v>62</v>
      </c>
      <c r="I67">
        <f t="shared" si="0"/>
        <v>0.042803581028630903</v>
      </c>
      <c r="J67">
        <f t="shared" si="1"/>
        <v>2.7803732619549208E-06</v>
      </c>
      <c r="K67">
        <f t="shared" si="2"/>
        <v>1.1900993220792627E-07</v>
      </c>
    </row>
    <row r="68" spans="8:11" ht="13.5">
      <c r="H68">
        <v>63</v>
      </c>
      <c r="I68">
        <f t="shared" si="0"/>
        <v>0.04529479473929195</v>
      </c>
      <c r="J68">
        <f t="shared" si="1"/>
        <v>1.4710969639973126E-06</v>
      </c>
      <c r="K68">
        <f t="shared" si="2"/>
        <v>6.663303502585383E-08</v>
      </c>
    </row>
    <row r="69" spans="8:11" ht="13.5">
      <c r="H69">
        <v>64</v>
      </c>
      <c r="I69">
        <f t="shared" si="0"/>
        <v>0.04718207785342911</v>
      </c>
      <c r="J69">
        <f t="shared" si="1"/>
        <v>7.66196335415267E-07</v>
      </c>
      <c r="K69">
        <f t="shared" si="2"/>
        <v>3.615073514857521E-08</v>
      </c>
    </row>
    <row r="70" spans="8:11" ht="13.5">
      <c r="H70">
        <v>65</v>
      </c>
      <c r="I70">
        <f t="shared" si="0"/>
        <v>0.04839187472146575</v>
      </c>
      <c r="J70">
        <f t="shared" si="1"/>
        <v>3.9292119764885493E-07</v>
      </c>
      <c r="K70">
        <f t="shared" si="2"/>
        <v>1.901419337203167E-08</v>
      </c>
    </row>
    <row r="71" spans="8:11" ht="13.5">
      <c r="H71">
        <v>66</v>
      </c>
      <c r="I71">
        <f aca="true" t="shared" si="3" ref="I71:I134">I70*I$2/$H71</f>
        <v>0.04888068153683408</v>
      </c>
      <c r="J71">
        <f aca="true" t="shared" si="4" ref="J71:J134">J70*J$2/$H71</f>
        <v>1.9844504931760352E-07</v>
      </c>
      <c r="K71">
        <f aca="true" t="shared" si="5" ref="K71:K134">I71*J71</f>
        <v>9.70012925825511E-09</v>
      </c>
    </row>
    <row r="72" spans="8:11" ht="13.5">
      <c r="H72">
        <v>67</v>
      </c>
      <c r="I72">
        <f t="shared" si="3"/>
        <v>0.048637494066501565</v>
      </c>
      <c r="J72">
        <f t="shared" si="4"/>
        <v>9.872888025751419E-08</v>
      </c>
      <c r="K72">
        <f t="shared" si="5"/>
        <v>4.801925327717189E-09</v>
      </c>
    </row>
    <row r="73" spans="8:11" ht="13.5">
      <c r="H73">
        <v>68</v>
      </c>
      <c r="I73">
        <f t="shared" si="3"/>
        <v>0.04768381771225643</v>
      </c>
      <c r="J73">
        <f t="shared" si="4"/>
        <v>4.8396509930154016E-08</v>
      </c>
      <c r="K73">
        <f t="shared" si="5"/>
        <v>2.3077303574188724E-09</v>
      </c>
    </row>
    <row r="74" spans="8:11" ht="13.5">
      <c r="H74">
        <v>69</v>
      </c>
      <c r="I74">
        <f t="shared" si="3"/>
        <v>0.046071321461117316</v>
      </c>
      <c r="J74">
        <f t="shared" si="4"/>
        <v>2.3379956487997112E-08</v>
      </c>
      <c r="K74">
        <f t="shared" si="5"/>
        <v>1.0771454911054505E-09</v>
      </c>
    </row>
    <row r="75" spans="8:11" ht="13.5">
      <c r="H75">
        <v>70</v>
      </c>
      <c r="I75">
        <f t="shared" si="3"/>
        <v>0.04387744901058791</v>
      </c>
      <c r="J75">
        <f t="shared" si="4"/>
        <v>1.113331261333196E-08</v>
      </c>
      <c r="K75">
        <f t="shared" si="5"/>
        <v>4.885013565104083E-10</v>
      </c>
    </row>
    <row r="76" spans="8:11" ht="13.5">
      <c r="H76">
        <v>71</v>
      </c>
      <c r="I76">
        <f t="shared" si="3"/>
        <v>0.04119948263904968</v>
      </c>
      <c r="J76">
        <f t="shared" si="4"/>
        <v>5.226907330202798E-09</v>
      </c>
      <c r="K76">
        <f t="shared" si="5"/>
        <v>2.1534587780661168E-10</v>
      </c>
    </row>
    <row r="77" spans="8:11" ht="13.5">
      <c r="H77">
        <v>72</v>
      </c>
      <c r="I77">
        <f t="shared" si="3"/>
        <v>0.03814766911023118</v>
      </c>
      <c r="J77">
        <f t="shared" si="4"/>
        <v>2.419864504723518E-09</v>
      </c>
      <c r="K77">
        <f t="shared" si="5"/>
        <v>9.231219041778622E-11</v>
      </c>
    </row>
    <row r="78" spans="8:11" ht="13.5">
      <c r="H78">
        <v>73</v>
      </c>
      <c r="I78">
        <f t="shared" si="3"/>
        <v>0.03483805398194628</v>
      </c>
      <c r="J78">
        <f t="shared" si="4"/>
        <v>1.104960961060967E-09</v>
      </c>
      <c r="K78">
        <f t="shared" si="5"/>
        <v>3.849468960938522E-11</v>
      </c>
    </row>
    <row r="79" spans="8:11" ht="13.5">
      <c r="H79">
        <v>74</v>
      </c>
      <c r="I79">
        <f t="shared" si="3"/>
        <v>0.031385634217969624</v>
      </c>
      <c r="J79">
        <f t="shared" si="4"/>
        <v>4.977301626400752E-10</v>
      </c>
      <c r="K79">
        <f t="shared" si="5"/>
        <v>1.562157682387193E-11</v>
      </c>
    </row>
    <row r="80" spans="8:11" ht="13.5">
      <c r="H80">
        <v>75</v>
      </c>
      <c r="I80">
        <f t="shared" si="3"/>
        <v>0.02789834152708411</v>
      </c>
      <c r="J80">
        <f t="shared" si="4"/>
        <v>2.2121340561781122E-10</v>
      </c>
      <c r="K80">
        <f t="shared" si="5"/>
        <v>6.171487140295084E-12</v>
      </c>
    </row>
    <row r="81" spans="8:11" ht="13.5">
      <c r="H81">
        <v>76</v>
      </c>
      <c r="I81">
        <f t="shared" si="3"/>
        <v>0.0244722294097229</v>
      </c>
      <c r="J81">
        <f t="shared" si="4"/>
        <v>9.702342351658388E-11</v>
      </c>
      <c r="K81">
        <f t="shared" si="5"/>
        <v>2.3743794784145445E-12</v>
      </c>
    </row>
    <row r="82" spans="8:11" ht="13.5">
      <c r="H82">
        <v>77</v>
      </c>
      <c r="I82">
        <f t="shared" si="3"/>
        <v>0.021188077411015496</v>
      </c>
      <c r="J82">
        <f t="shared" si="4"/>
        <v>4.200148204181121E-11</v>
      </c>
      <c r="K82">
        <f t="shared" si="5"/>
        <v>8.89930652879273E-13</v>
      </c>
    </row>
    <row r="83" spans="8:11" ht="13.5">
      <c r="H83">
        <v>78</v>
      </c>
      <c r="I83">
        <f t="shared" si="3"/>
        <v>0.018109467872662814</v>
      </c>
      <c r="J83">
        <f t="shared" si="4"/>
        <v>1.794935129991932E-11</v>
      </c>
      <c r="K83">
        <f t="shared" si="5"/>
        <v>3.250532007010275E-13</v>
      </c>
    </row>
    <row r="84" spans="8:11" ht="13.5">
      <c r="H84">
        <v>79</v>
      </c>
      <c r="I84">
        <f t="shared" si="3"/>
        <v>0.015282251369335705</v>
      </c>
      <c r="J84">
        <f t="shared" si="4"/>
        <v>7.573565949333048E-12</v>
      </c>
      <c r="K84">
        <f t="shared" si="5"/>
        <v>1.1574113859994925E-13</v>
      </c>
    </row>
    <row r="85" spans="8:11" ht="13.5">
      <c r="H85">
        <v>80</v>
      </c>
      <c r="I85">
        <f t="shared" si="3"/>
        <v>0.012735209474446419</v>
      </c>
      <c r="J85">
        <f t="shared" si="4"/>
        <v>3.1556524788887703E-12</v>
      </c>
      <c r="K85">
        <f t="shared" si="5"/>
        <v>4.01878953472046E-14</v>
      </c>
    </row>
    <row r="86" spans="8:11" ht="13.5">
      <c r="H86">
        <v>81</v>
      </c>
      <c r="I86">
        <f t="shared" si="3"/>
        <v>0.010481653888433265</v>
      </c>
      <c r="J86">
        <f t="shared" si="4"/>
        <v>1.2986224192957903E-12</v>
      </c>
      <c r="K86">
        <f t="shared" si="5"/>
        <v>1.3611710730818334E-14</v>
      </c>
    </row>
    <row r="87" spans="8:11" ht="13.5">
      <c r="H87">
        <v>82</v>
      </c>
      <c r="I87">
        <f t="shared" si="3"/>
        <v>0.008521669827994523</v>
      </c>
      <c r="J87">
        <f t="shared" si="4"/>
        <v>5.278952923966628E-13</v>
      </c>
      <c r="K87">
        <f t="shared" si="5"/>
        <v>4.498549385556988E-15</v>
      </c>
    </row>
    <row r="88" spans="8:11" ht="13.5">
      <c r="H88">
        <v>83</v>
      </c>
      <c r="I88">
        <f t="shared" si="3"/>
        <v>0.00684471472128074</v>
      </c>
      <c r="J88">
        <f t="shared" si="4"/>
        <v>2.1200614152476416E-13</v>
      </c>
      <c r="K88">
        <f t="shared" si="5"/>
        <v>1.4511215578964812E-15</v>
      </c>
    </row>
    <row r="89" spans="8:11" ht="13.5">
      <c r="H89">
        <v>84</v>
      </c>
      <c r="I89">
        <f t="shared" si="3"/>
        <v>0.005432313270857729</v>
      </c>
      <c r="J89">
        <f t="shared" si="4"/>
        <v>8.412942123998579E-14</v>
      </c>
      <c r="K89">
        <f t="shared" si="5"/>
        <v>4.570173714715549E-16</v>
      </c>
    </row>
    <row r="90" spans="8:11" ht="13.5">
      <c r="H90">
        <v>85</v>
      </c>
      <c r="I90">
        <f t="shared" si="3"/>
        <v>0.004260637859496257</v>
      </c>
      <c r="J90">
        <f t="shared" si="4"/>
        <v>3.2991929898033644E-14</v>
      </c>
      <c r="K90">
        <f t="shared" si="5"/>
        <v>1.4056666558140865E-16</v>
      </c>
    </row>
    <row r="91" spans="8:11" ht="13.5">
      <c r="H91">
        <v>86</v>
      </c>
      <c r="I91">
        <f t="shared" si="3"/>
        <v>0.003302820046121129</v>
      </c>
      <c r="J91">
        <f t="shared" si="4"/>
        <v>1.2787569727920017E-14</v>
      </c>
      <c r="K91">
        <f t="shared" si="5"/>
        <v>4.223504163854595E-17</v>
      </c>
    </row>
    <row r="92" spans="8:11" ht="13.5">
      <c r="H92">
        <v>87</v>
      </c>
      <c r="I92">
        <f t="shared" si="3"/>
        <v>0.002530896587065999</v>
      </c>
      <c r="J92">
        <f t="shared" si="4"/>
        <v>4.89945200303449E-15</v>
      </c>
      <c r="K92">
        <f t="shared" si="5"/>
        <v>1.2400006352973663E-17</v>
      </c>
    </row>
    <row r="93" spans="8:11" ht="13.5">
      <c r="H93">
        <v>88</v>
      </c>
      <c r="I93">
        <f t="shared" si="3"/>
        <v>0.0019173458992924233</v>
      </c>
      <c r="J93">
        <f t="shared" si="4"/>
        <v>1.8558530314524584E-15</v>
      </c>
      <c r="K93">
        <f t="shared" si="5"/>
        <v>3.5583121995447835E-18</v>
      </c>
    </row>
    <row r="94" spans="8:11" ht="13.5">
      <c r="H94">
        <v>89</v>
      </c>
      <c r="I94">
        <f t="shared" si="3"/>
        <v>0.0014362141567733505</v>
      </c>
      <c r="J94">
        <f t="shared" si="4"/>
        <v>6.950760417424939E-16</v>
      </c>
      <c r="K94">
        <f t="shared" si="5"/>
        <v>9.98278051184554E-19</v>
      </c>
    </row>
    <row r="95" spans="8:11" ht="13.5">
      <c r="H95">
        <v>90</v>
      </c>
      <c r="I95">
        <f t="shared" si="3"/>
        <v>0.00106386233835063</v>
      </c>
      <c r="J95">
        <f t="shared" si="4"/>
        <v>2.5743557101573854E-16</v>
      </c>
      <c r="K95">
        <f t="shared" si="5"/>
        <v>2.7387600855543327E-19</v>
      </c>
    </row>
    <row r="96" spans="8:11" ht="13.5">
      <c r="H96">
        <v>91</v>
      </c>
      <c r="I96">
        <f t="shared" si="3"/>
        <v>0.0007793863284619999</v>
      </c>
      <c r="J96">
        <f t="shared" si="4"/>
        <v>9.4298743961809E-17</v>
      </c>
      <c r="K96">
        <f t="shared" si="5"/>
        <v>7.34951518349725E-20</v>
      </c>
    </row>
    <row r="97" spans="8:11" ht="13.5">
      <c r="H97">
        <v>92</v>
      </c>
      <c r="I97">
        <f t="shared" si="3"/>
        <v>0.0005647727017840578</v>
      </c>
      <c r="J97">
        <f t="shared" si="4"/>
        <v>3.416621158036558E-17</v>
      </c>
      <c r="K97">
        <f t="shared" si="5"/>
        <v>1.929614362396883E-20</v>
      </c>
    </row>
    <row r="98" spans="8:11" ht="13.5">
      <c r="H98">
        <v>93</v>
      </c>
      <c r="I98">
        <f t="shared" si="3"/>
        <v>0.0004048549833577475</v>
      </c>
      <c r="J98">
        <f t="shared" si="4"/>
        <v>1.2245953971457198E-17</v>
      </c>
      <c r="K98">
        <f t="shared" si="5"/>
        <v>4.957835491314046E-21</v>
      </c>
    </row>
    <row r="99" spans="8:11" ht="13.5">
      <c r="H99">
        <v>94</v>
      </c>
      <c r="I99">
        <f t="shared" si="3"/>
        <v>0.00028713119387074285</v>
      </c>
      <c r="J99">
        <f t="shared" si="4"/>
        <v>4.3425368693110634E-18</v>
      </c>
      <c r="K99">
        <f t="shared" si="5"/>
        <v>1.2468777957130038E-21</v>
      </c>
    </row>
    <row r="100" spans="8:11" ht="13.5">
      <c r="H100">
        <v>95</v>
      </c>
      <c r="I100">
        <f t="shared" si="3"/>
        <v>0.00020149557464613533</v>
      </c>
      <c r="J100">
        <f t="shared" si="4"/>
        <v>1.5236971471266891E-18</v>
      </c>
      <c r="K100">
        <f t="shared" si="5"/>
        <v>3.0701823224696924E-22</v>
      </c>
    </row>
    <row r="101" spans="8:11" ht="13.5">
      <c r="H101">
        <v>96</v>
      </c>
      <c r="I101">
        <f t="shared" si="3"/>
        <v>0.00013992748239314952</v>
      </c>
      <c r="J101">
        <f t="shared" si="4"/>
        <v>5.290615094189893E-19</v>
      </c>
      <c r="K101">
        <f t="shared" si="5"/>
        <v>7.403024504411874E-23</v>
      </c>
    </row>
    <row r="102" spans="8:11" ht="13.5">
      <c r="H102">
        <v>97</v>
      </c>
      <c r="I102">
        <f t="shared" si="3"/>
        <v>9.617009099185532E-05</v>
      </c>
      <c r="J102">
        <f t="shared" si="4"/>
        <v>1.8180807883814066E-19</v>
      </c>
      <c r="K102">
        <f t="shared" si="5"/>
        <v>1.7484499484918392E-23</v>
      </c>
    </row>
    <row r="103" spans="8:11" ht="13.5">
      <c r="H103">
        <v>98</v>
      </c>
      <c r="I103">
        <f t="shared" si="3"/>
        <v>6.542183060670429E-05</v>
      </c>
      <c r="J103">
        <f t="shared" si="4"/>
        <v>6.183948259800703E-20</v>
      </c>
      <c r="K103">
        <f t="shared" si="5"/>
        <v>4.045652155333054E-24</v>
      </c>
    </row>
    <row r="104" spans="8:11" ht="13.5">
      <c r="H104">
        <v>99</v>
      </c>
      <c r="I104">
        <f t="shared" si="3"/>
        <v>4.405510478565945E-05</v>
      </c>
      <c r="J104">
        <f t="shared" si="4"/>
        <v>2.082137461212358E-20</v>
      </c>
      <c r="K104">
        <f t="shared" si="5"/>
        <v>9.172878403185738E-25</v>
      </c>
    </row>
    <row r="105" spans="8:11" ht="13.5">
      <c r="H105">
        <v>100</v>
      </c>
      <c r="I105">
        <f t="shared" si="3"/>
        <v>2.9370069857106297E-05</v>
      </c>
      <c r="J105">
        <f t="shared" si="4"/>
        <v>6.940458204041193E-21</v>
      </c>
      <c r="K105">
        <f t="shared" si="5"/>
        <v>2.0384174229301635E-25</v>
      </c>
    </row>
    <row r="106" spans="8:11" ht="13.5">
      <c r="H106">
        <v>101</v>
      </c>
      <c r="I106">
        <f t="shared" si="3"/>
        <v>1.938618472416257E-05</v>
      </c>
      <c r="J106">
        <f t="shared" si="4"/>
        <v>2.29058026536013E-21</v>
      </c>
      <c r="K106">
        <f t="shared" si="5"/>
        <v>4.44056121497928E-26</v>
      </c>
    </row>
    <row r="107" spans="8:11" ht="13.5">
      <c r="H107">
        <v>102</v>
      </c>
      <c r="I107">
        <f t="shared" si="3"/>
        <v>1.2670708970040892E-05</v>
      </c>
      <c r="J107">
        <f t="shared" si="4"/>
        <v>7.485556422745523E-22</v>
      </c>
      <c r="K107">
        <f t="shared" si="5"/>
        <v>9.484730691142891E-27</v>
      </c>
    </row>
    <row r="108" spans="8:11" ht="13.5">
      <c r="H108">
        <v>103</v>
      </c>
      <c r="I108">
        <f t="shared" si="3"/>
        <v>8.201106129476304E-06</v>
      </c>
      <c r="J108">
        <f t="shared" si="4"/>
        <v>2.4225101691733085E-22</v>
      </c>
      <c r="K108">
        <f t="shared" si="5"/>
        <v>1.9867262997125898E-27</v>
      </c>
    </row>
    <row r="109" spans="8:11" ht="13.5">
      <c r="H109">
        <v>104</v>
      </c>
      <c r="I109">
        <f t="shared" si="3"/>
        <v>5.2571193137668605E-06</v>
      </c>
      <c r="J109">
        <f t="shared" si="4"/>
        <v>7.764455670427271E-23</v>
      </c>
      <c r="K109">
        <f t="shared" si="5"/>
        <v>4.081866986588983E-28</v>
      </c>
    </row>
    <row r="110" spans="8:11" ht="13.5">
      <c r="H110">
        <v>105</v>
      </c>
      <c r="I110">
        <f t="shared" si="3"/>
        <v>3.337853532550387E-06</v>
      </c>
      <c r="J110">
        <f t="shared" si="4"/>
        <v>2.464906562040404E-23</v>
      </c>
      <c r="K110">
        <f t="shared" si="5"/>
        <v>8.227497075513192E-29</v>
      </c>
    </row>
    <row r="111" spans="8:11" ht="13.5">
      <c r="H111">
        <v>106</v>
      </c>
      <c r="I111">
        <f t="shared" si="3"/>
        <v>2.0992789512895514E-06</v>
      </c>
      <c r="J111">
        <f t="shared" si="4"/>
        <v>7.751278496982403E-24</v>
      </c>
      <c r="K111">
        <f t="shared" si="5"/>
        <v>1.627209579429847E-29</v>
      </c>
    </row>
    <row r="112" spans="8:11" ht="13.5">
      <c r="H112">
        <v>107</v>
      </c>
      <c r="I112">
        <f t="shared" si="3"/>
        <v>1.307961963420281E-06</v>
      </c>
      <c r="J112">
        <f t="shared" si="4"/>
        <v>2.414728503732836E-24</v>
      </c>
      <c r="K112">
        <f t="shared" si="5"/>
        <v>3.158373034869318E-30</v>
      </c>
    </row>
    <row r="113" spans="8:11" ht="13.5">
      <c r="H113">
        <v>108</v>
      </c>
      <c r="I113">
        <f t="shared" si="3"/>
        <v>8.073839280372104E-07</v>
      </c>
      <c r="J113">
        <f t="shared" si="4"/>
        <v>7.452865752261841E-25</v>
      </c>
      <c r="K113">
        <f t="shared" si="5"/>
        <v>6.017324026195164E-31</v>
      </c>
    </row>
    <row r="114" spans="8:11" ht="13.5">
      <c r="H114">
        <v>109</v>
      </c>
      <c r="I114">
        <f t="shared" si="3"/>
        <v>4.938128000227586E-07</v>
      </c>
      <c r="J114">
        <f t="shared" si="4"/>
        <v>2.2791638386121836E-25</v>
      </c>
      <c r="K114">
        <f t="shared" si="5"/>
        <v>1.1254802768557011E-31</v>
      </c>
    </row>
    <row r="115" spans="8:11" ht="13.5">
      <c r="H115">
        <v>110</v>
      </c>
      <c r="I115">
        <f t="shared" si="3"/>
        <v>2.9928048486227787E-07</v>
      </c>
      <c r="J115">
        <f t="shared" si="4"/>
        <v>6.906557086703587E-26</v>
      </c>
      <c r="K115">
        <f t="shared" si="5"/>
        <v>2.0669977536376507E-32</v>
      </c>
    </row>
    <row r="116" spans="8:11" ht="13.5">
      <c r="H116">
        <v>111</v>
      </c>
      <c r="I116">
        <f t="shared" si="3"/>
        <v>1.7974803895632302E-07</v>
      </c>
      <c r="J116">
        <f t="shared" si="4"/>
        <v>2.0740411671782544E-26</v>
      </c>
      <c r="K116">
        <f t="shared" si="5"/>
        <v>3.728048325149745E-33</v>
      </c>
    </row>
    <row r="117" spans="8:11" ht="13.5">
      <c r="H117">
        <v>112</v>
      </c>
      <c r="I117">
        <f t="shared" si="3"/>
        <v>1.0699288033114464E-07</v>
      </c>
      <c r="J117">
        <f t="shared" si="4"/>
        <v>6.172741568982901E-27</v>
      </c>
      <c r="K117">
        <f t="shared" si="5"/>
        <v>6.604394000052695E-34</v>
      </c>
    </row>
    <row r="118" spans="8:11" ht="13.5">
      <c r="H118">
        <v>113</v>
      </c>
      <c r="I118">
        <f t="shared" si="3"/>
        <v>6.312264326321217E-08</v>
      </c>
      <c r="J118">
        <f t="shared" si="4"/>
        <v>1.8208677194639826E-27</v>
      </c>
      <c r="K118">
        <f t="shared" si="5"/>
        <v>1.1493798348522368E-34</v>
      </c>
    </row>
    <row r="119" spans="8:11" ht="13.5">
      <c r="H119">
        <v>114</v>
      </c>
      <c r="I119">
        <f t="shared" si="3"/>
        <v>3.6913826469714716E-08</v>
      </c>
      <c r="J119">
        <f t="shared" si="4"/>
        <v>5.3241746183157395E-28</v>
      </c>
      <c r="K119">
        <f t="shared" si="5"/>
        <v>1.9653565795496677E-35</v>
      </c>
    </row>
    <row r="120" spans="8:11" ht="13.5">
      <c r="H120">
        <v>115</v>
      </c>
      <c r="I120">
        <f t="shared" si="3"/>
        <v>2.139931969258824E-08</v>
      </c>
      <c r="J120">
        <f t="shared" si="4"/>
        <v>1.5432390198016636E-28</v>
      </c>
      <c r="K120">
        <f t="shared" si="5"/>
        <v>3.302426514681231E-36</v>
      </c>
    </row>
    <row r="121" spans="8:11" ht="13.5">
      <c r="H121">
        <v>116</v>
      </c>
      <c r="I121">
        <f t="shared" si="3"/>
        <v>1.2298459593441514E-08</v>
      </c>
      <c r="J121">
        <f t="shared" si="4"/>
        <v>4.4345948844875396E-29</v>
      </c>
      <c r="K121">
        <f t="shared" si="5"/>
        <v>5.4538686000152445E-37</v>
      </c>
    </row>
    <row r="122" spans="8:11" ht="13.5">
      <c r="H122">
        <v>117</v>
      </c>
      <c r="I122">
        <f t="shared" si="3"/>
        <v>7.0076692840122575E-09</v>
      </c>
      <c r="J122">
        <f t="shared" si="4"/>
        <v>1.263417346007846E-29</v>
      </c>
      <c r="K122">
        <f t="shared" si="5"/>
        <v>8.853610928507469E-38</v>
      </c>
    </row>
    <row r="123" spans="8:11" ht="13.5">
      <c r="H123">
        <v>118</v>
      </c>
      <c r="I123">
        <f t="shared" si="3"/>
        <v>3.959135188707489E-09</v>
      </c>
      <c r="J123">
        <f t="shared" si="4"/>
        <v>3.5689755536944806E-30</v>
      </c>
      <c r="K123">
        <f t="shared" si="5"/>
        <v>1.4130056702268613E-38</v>
      </c>
    </row>
    <row r="124" spans="8:11" ht="13.5">
      <c r="H124">
        <v>119</v>
      </c>
      <c r="I124">
        <f t="shared" si="3"/>
        <v>2.2180029068389292E-09</v>
      </c>
      <c r="J124">
        <f t="shared" si="4"/>
        <v>9.997130402505548E-31</v>
      </c>
      <c r="K124">
        <f t="shared" si="5"/>
        <v>2.217366429280514E-39</v>
      </c>
    </row>
    <row r="125" spans="8:11" ht="13.5">
      <c r="H125">
        <v>120</v>
      </c>
      <c r="I125">
        <f t="shared" si="3"/>
        <v>1.2322238371327383E-09</v>
      </c>
      <c r="J125">
        <f t="shared" si="4"/>
        <v>2.7769806673626525E-31</v>
      </c>
      <c r="K125">
        <f t="shared" si="5"/>
        <v>3.42186177358104E-40</v>
      </c>
    </row>
    <row r="126" spans="8:11" ht="13.5">
      <c r="H126">
        <v>121</v>
      </c>
      <c r="I126">
        <f t="shared" si="3"/>
        <v>6.789112050318116E-10</v>
      </c>
      <c r="J126">
        <f t="shared" si="4"/>
        <v>7.650084483092708E-32</v>
      </c>
      <c r="K126">
        <f t="shared" si="5"/>
        <v>5.193728075011633E-41</v>
      </c>
    </row>
    <row r="127" spans="8:11" ht="13.5">
      <c r="H127">
        <v>122</v>
      </c>
      <c r="I127">
        <f t="shared" si="3"/>
        <v>3.7098972952558004E-10</v>
      </c>
      <c r="J127">
        <f t="shared" si="4"/>
        <v>2.090187017238445E-32</v>
      </c>
      <c r="K127">
        <f t="shared" si="5"/>
        <v>7.754379161831696E-42</v>
      </c>
    </row>
    <row r="128" spans="8:11" ht="13.5">
      <c r="H128">
        <v>123</v>
      </c>
      <c r="I128">
        <f t="shared" si="3"/>
        <v>2.0107844418730623E-10</v>
      </c>
      <c r="J128">
        <f t="shared" si="4"/>
        <v>5.6644634613508E-33</v>
      </c>
      <c r="K128">
        <f t="shared" si="5"/>
        <v>1.1390014999642623E-42</v>
      </c>
    </row>
    <row r="129" spans="8:11" ht="13.5">
      <c r="H129">
        <v>124</v>
      </c>
      <c r="I129">
        <f t="shared" si="3"/>
        <v>1.0810669042328292E-10</v>
      </c>
      <c r="J129">
        <f t="shared" si="4"/>
        <v>1.5227052315459142E-33</v>
      </c>
      <c r="K129">
        <f t="shared" si="5"/>
        <v>1.6461462307264749E-43</v>
      </c>
    </row>
    <row r="130" spans="8:11" ht="13.5">
      <c r="H130">
        <v>125</v>
      </c>
      <c r="I130">
        <f t="shared" si="3"/>
        <v>5.7656901559084215E-11</v>
      </c>
      <c r="J130">
        <f t="shared" si="4"/>
        <v>4.060547284122438E-34</v>
      </c>
      <c r="K130">
        <f t="shared" si="5"/>
        <v>2.3411857503665417E-44</v>
      </c>
    </row>
    <row r="131" spans="8:11" ht="13.5">
      <c r="H131">
        <v>126</v>
      </c>
      <c r="I131">
        <f t="shared" si="3"/>
        <v>3.050629712120857E-11</v>
      </c>
      <c r="J131">
        <f t="shared" si="4"/>
        <v>1.0742188582334492E-34</v>
      </c>
      <c r="K131">
        <f t="shared" si="5"/>
        <v>3.277043966247503E-45</v>
      </c>
    </row>
    <row r="132" spans="8:11" ht="13.5">
      <c r="H132">
        <v>127</v>
      </c>
      <c r="I132">
        <f t="shared" si="3"/>
        <v>1.6013804263101612E-11</v>
      </c>
      <c r="J132">
        <f t="shared" si="4"/>
        <v>2.819472068854198E-35</v>
      </c>
      <c r="K132">
        <f t="shared" si="5"/>
        <v>4.5150473835913274E-46</v>
      </c>
    </row>
    <row r="133" spans="8:11" ht="13.5">
      <c r="H133">
        <v>128</v>
      </c>
      <c r="I133">
        <f t="shared" si="3"/>
        <v>8.340523053698754E-12</v>
      </c>
      <c r="J133">
        <f t="shared" si="4"/>
        <v>7.342375179307808E-36</v>
      </c>
      <c r="K133">
        <f t="shared" si="5"/>
        <v>6.123924945192229E-47</v>
      </c>
    </row>
    <row r="134" spans="8:11" ht="13.5">
      <c r="H134">
        <v>129</v>
      </c>
      <c r="I134">
        <f t="shared" si="3"/>
        <v>4.310347831368865E-12</v>
      </c>
      <c r="J134">
        <f t="shared" si="4"/>
        <v>1.8972545682965912E-36</v>
      </c>
      <c r="K134">
        <f t="shared" si="5"/>
        <v>8.177827114011883E-48</v>
      </c>
    </row>
    <row r="135" spans="8:11" ht="13.5">
      <c r="H135">
        <v>130</v>
      </c>
      <c r="I135">
        <f aca="true" t="shared" si="6" ref="I135:I198">I134*I$2/$H135</f>
        <v>2.2104347853173663E-12</v>
      </c>
      <c r="J135">
        <f aca="true" t="shared" si="7" ref="J135:J198">J134*J$2/$H135</f>
        <v>4.864755303324593E-37</v>
      </c>
      <c r="K135">
        <f aca="true" t="shared" si="8" ref="K135:K198">I135*J135</f>
        <v>1.0753224344525815E-48</v>
      </c>
    </row>
    <row r="136" spans="8:11" ht="13.5">
      <c r="H136">
        <v>131</v>
      </c>
      <c r="I136">
        <f t="shared" si="6"/>
        <v>1.1249031986347917E-12</v>
      </c>
      <c r="J136">
        <f t="shared" si="7"/>
        <v>1.2378512222199983E-37</v>
      </c>
      <c r="K136">
        <f t="shared" si="8"/>
        <v>1.3924627993092625E-49</v>
      </c>
    </row>
    <row r="137" spans="8:11" ht="13.5">
      <c r="H137">
        <v>132</v>
      </c>
      <c r="I137">
        <f t="shared" si="6"/>
        <v>5.681329286034301E-13</v>
      </c>
      <c r="J137">
        <f t="shared" si="7"/>
        <v>3.125886924797976E-38</v>
      </c>
      <c r="K137">
        <f t="shared" si="8"/>
        <v>1.775919293068644E-50</v>
      </c>
    </row>
    <row r="138" spans="8:11" ht="13.5">
      <c r="H138">
        <v>133</v>
      </c>
      <c r="I138">
        <f t="shared" si="6"/>
        <v>2.8477841032753383E-13</v>
      </c>
      <c r="J138">
        <f t="shared" si="7"/>
        <v>7.834303069669113E-39</v>
      </c>
      <c r="K138">
        <f t="shared" si="8"/>
        <v>2.2310403742044885E-51</v>
      </c>
    </row>
    <row r="139" spans="8:11" ht="13.5">
      <c r="H139">
        <v>134</v>
      </c>
      <c r="I139">
        <f t="shared" si="6"/>
        <v>1.4168080115797702E-13</v>
      </c>
      <c r="J139">
        <f t="shared" si="7"/>
        <v>1.9488316093704262E-39</v>
      </c>
      <c r="K139">
        <f t="shared" si="8"/>
        <v>2.761120237375917E-52</v>
      </c>
    </row>
    <row r="140" spans="8:11" ht="13.5">
      <c r="H140">
        <v>135</v>
      </c>
      <c r="I140">
        <f t="shared" si="6"/>
        <v>6.996582773233432E-14</v>
      </c>
      <c r="J140">
        <f t="shared" si="7"/>
        <v>4.811929899680065E-40</v>
      </c>
      <c r="K140">
        <f t="shared" si="8"/>
        <v>3.366706584210842E-53</v>
      </c>
    </row>
    <row r="141" spans="8:11" ht="13.5">
      <c r="H141">
        <v>136</v>
      </c>
      <c r="I141">
        <f t="shared" si="6"/>
        <v>3.429697437859525E-14</v>
      </c>
      <c r="J141">
        <f t="shared" si="7"/>
        <v>1.1793945832549181E-40</v>
      </c>
      <c r="K141">
        <f t="shared" si="8"/>
        <v>4.0449665804147946E-54</v>
      </c>
    </row>
    <row r="142" spans="8:11" ht="13.5">
      <c r="H142">
        <v>137</v>
      </c>
      <c r="I142">
        <f t="shared" si="6"/>
        <v>1.6689525245058513E-14</v>
      </c>
      <c r="J142">
        <f t="shared" si="7"/>
        <v>2.869573195267441E-41</v>
      </c>
      <c r="K142">
        <f t="shared" si="8"/>
        <v>4.789181428495918E-55</v>
      </c>
    </row>
    <row r="143" spans="8:11" ht="13.5">
      <c r="H143">
        <v>138</v>
      </c>
      <c r="I143">
        <f t="shared" si="6"/>
        <v>8.06257258215387E-15</v>
      </c>
      <c r="J143">
        <f t="shared" si="7"/>
        <v>6.931336220452756E-42</v>
      </c>
      <c r="K143">
        <f t="shared" si="8"/>
        <v>5.588440136871242E-56</v>
      </c>
    </row>
    <row r="144" spans="8:11" ht="13.5">
      <c r="H144">
        <v>139</v>
      </c>
      <c r="I144">
        <f t="shared" si="6"/>
        <v>3.866941286404733E-15</v>
      </c>
      <c r="J144">
        <f t="shared" si="7"/>
        <v>1.6621909401565362E-42</v>
      </c>
      <c r="K144">
        <f t="shared" si="8"/>
        <v>6.427594772379209E-57</v>
      </c>
    </row>
    <row r="145" spans="8:11" ht="13.5">
      <c r="H145">
        <v>140</v>
      </c>
      <c r="I145">
        <f t="shared" si="6"/>
        <v>1.8414006125736818E-15</v>
      </c>
      <c r="J145">
        <f t="shared" si="7"/>
        <v>3.9575974765631815E-43</v>
      </c>
      <c r="K145">
        <f t="shared" si="8"/>
        <v>7.2875224176635E-58</v>
      </c>
    </row>
    <row r="146" spans="8:11" ht="13.5">
      <c r="H146">
        <v>141</v>
      </c>
      <c r="I146">
        <f t="shared" si="6"/>
        <v>8.706385875052868E-16</v>
      </c>
      <c r="J146">
        <f t="shared" si="7"/>
        <v>9.35602240322265E-44</v>
      </c>
      <c r="K146">
        <f t="shared" si="8"/>
        <v>8.145714129809588E-59</v>
      </c>
    </row>
    <row r="147" spans="8:11" ht="13.5">
      <c r="H147">
        <v>142</v>
      </c>
      <c r="I147">
        <f t="shared" si="6"/>
        <v>4.087505105658623E-16</v>
      </c>
      <c r="J147">
        <f t="shared" si="7"/>
        <v>2.1962493904278522E-44</v>
      </c>
      <c r="K147">
        <f t="shared" si="8"/>
        <v>8.977180596673484E-60</v>
      </c>
    </row>
    <row r="148" spans="8:11" ht="13.5">
      <c r="H148">
        <v>143</v>
      </c>
      <c r="I148">
        <f t="shared" si="6"/>
        <v>1.9055967858548357E-16</v>
      </c>
      <c r="J148">
        <f t="shared" si="7"/>
        <v>5.119462448549772E-45</v>
      </c>
      <c r="K148">
        <f t="shared" si="8"/>
        <v>9.755631187260973E-61</v>
      </c>
    </row>
    <row r="149" spans="8:11" ht="13.5">
      <c r="H149">
        <v>144</v>
      </c>
      <c r="I149">
        <f t="shared" si="6"/>
        <v>8.822207341920533E-17</v>
      </c>
      <c r="J149">
        <f t="shared" si="7"/>
        <v>1.185060751979114E-45</v>
      </c>
      <c r="K149">
        <f t="shared" si="8"/>
        <v>1.0454851666732008E-61</v>
      </c>
    </row>
    <row r="150" spans="8:11" ht="13.5">
      <c r="H150">
        <v>145</v>
      </c>
      <c r="I150">
        <f t="shared" si="6"/>
        <v>4.0561872836416237E-17</v>
      </c>
      <c r="J150">
        <f t="shared" si="7"/>
        <v>2.7242775907565842E-46</v>
      </c>
      <c r="K150">
        <f t="shared" si="8"/>
        <v>1.1050180120736696E-62</v>
      </c>
    </row>
    <row r="151" spans="8:11" ht="13.5">
      <c r="H151">
        <v>146</v>
      </c>
      <c r="I151">
        <f t="shared" si="6"/>
        <v>1.852140312165125E-17</v>
      </c>
      <c r="J151">
        <f t="shared" si="7"/>
        <v>6.21981185104243E-47</v>
      </c>
      <c r="K151">
        <f t="shared" si="8"/>
        <v>1.151996426339807E-63</v>
      </c>
    </row>
    <row r="152" spans="8:11" ht="13.5">
      <c r="H152">
        <v>147</v>
      </c>
      <c r="I152">
        <f t="shared" si="6"/>
        <v>8.399729306871314E-18</v>
      </c>
      <c r="J152">
        <f t="shared" si="7"/>
        <v>1.4103881748395532E-47</v>
      </c>
      <c r="K152">
        <f t="shared" si="8"/>
        <v>1.1846878886264538E-64</v>
      </c>
    </row>
    <row r="153" spans="8:11" ht="13.5">
      <c r="H153">
        <v>148</v>
      </c>
      <c r="I153">
        <f t="shared" si="6"/>
        <v>3.783661849942033E-18</v>
      </c>
      <c r="J153">
        <f t="shared" si="7"/>
        <v>3.176549943332327E-48</v>
      </c>
      <c r="K153">
        <f t="shared" si="8"/>
        <v>1.2018990835022052E-65</v>
      </c>
    </row>
    <row r="154" spans="8:11" ht="13.5">
      <c r="H154">
        <v>149</v>
      </c>
      <c r="I154">
        <f t="shared" si="6"/>
        <v>1.6929135793924083E-18</v>
      </c>
      <c r="J154">
        <f t="shared" si="7"/>
        <v>7.106375712152857E-49</v>
      </c>
      <c r="K154">
        <f t="shared" si="8"/>
        <v>1.2030479943367967E-66</v>
      </c>
    </row>
    <row r="155" spans="8:11" ht="13.5">
      <c r="H155">
        <v>150</v>
      </c>
      <c r="I155">
        <f t="shared" si="6"/>
        <v>7.524060352855147E-19</v>
      </c>
      <c r="J155">
        <f t="shared" si="7"/>
        <v>1.579194602700635E-49</v>
      </c>
      <c r="K155">
        <f t="shared" si="8"/>
        <v>1.1881955499622684E-67</v>
      </c>
    </row>
    <row r="156" spans="8:11" ht="13.5">
      <c r="H156">
        <v>151</v>
      </c>
      <c r="I156">
        <f t="shared" si="6"/>
        <v>3.321880950487923E-19</v>
      </c>
      <c r="J156">
        <f t="shared" si="7"/>
        <v>3.4860808006636536E-50</v>
      </c>
      <c r="K156">
        <f t="shared" si="8"/>
        <v>1.1580345403586278E-68</v>
      </c>
    </row>
    <row r="157" spans="8:11" ht="13.5">
      <c r="H157">
        <v>152</v>
      </c>
      <c r="I157">
        <f t="shared" si="6"/>
        <v>1.4569653291613695E-19</v>
      </c>
      <c r="J157">
        <f t="shared" si="7"/>
        <v>7.644914036543101E-51</v>
      </c>
      <c r="K157">
        <f t="shared" si="8"/>
        <v>1.1138374695662393E-69</v>
      </c>
    </row>
    <row r="158" spans="8:11" ht="13.5">
      <c r="H158">
        <v>153</v>
      </c>
      <c r="I158">
        <f t="shared" si="6"/>
        <v>6.348432806803352E-20</v>
      </c>
      <c r="J158">
        <f t="shared" si="7"/>
        <v>1.6655586136259478E-51</v>
      </c>
      <c r="K158">
        <f t="shared" si="8"/>
        <v>1.0573686944396875E-70</v>
      </c>
    </row>
    <row r="159" spans="8:11" ht="13.5">
      <c r="H159">
        <v>154</v>
      </c>
      <c r="I159">
        <f t="shared" si="6"/>
        <v>2.748239310304481E-20</v>
      </c>
      <c r="J159">
        <f t="shared" si="7"/>
        <v>3.605105224298588E-52</v>
      </c>
      <c r="K159">
        <f t="shared" si="8"/>
        <v>9.907691895201432E-72</v>
      </c>
    </row>
    <row r="160" spans="8:11" ht="13.5">
      <c r="H160">
        <v>155</v>
      </c>
      <c r="I160">
        <f t="shared" si="6"/>
        <v>1.1820384130341852E-20</v>
      </c>
      <c r="J160">
        <f t="shared" si="7"/>
        <v>7.75291446085718E-53</v>
      </c>
      <c r="K160">
        <f t="shared" si="8"/>
        <v>9.164242705701406E-73</v>
      </c>
    </row>
    <row r="161" spans="8:11" ht="13.5">
      <c r="H161">
        <v>156</v>
      </c>
      <c r="I161">
        <f t="shared" si="6"/>
        <v>5.0514462095478E-21</v>
      </c>
      <c r="J161">
        <f t="shared" si="7"/>
        <v>1.656605654029312E-53</v>
      </c>
      <c r="K161">
        <f t="shared" si="8"/>
        <v>8.368254351761822E-74</v>
      </c>
    </row>
    <row r="162" spans="8:11" ht="13.5">
      <c r="H162">
        <v>157</v>
      </c>
      <c r="I162">
        <f t="shared" si="6"/>
        <v>2.144987774754904E-21</v>
      </c>
      <c r="J162">
        <f t="shared" si="7"/>
        <v>3.517209456537818E-54</v>
      </c>
      <c r="K162">
        <f t="shared" si="8"/>
        <v>7.544371285525959E-75</v>
      </c>
    </row>
    <row r="163" spans="8:11" ht="13.5">
      <c r="H163">
        <v>158</v>
      </c>
      <c r="I163">
        <f t="shared" si="6"/>
        <v>9.050581328079763E-22</v>
      </c>
      <c r="J163">
        <f t="shared" si="7"/>
        <v>7.420273115058687E-55</v>
      </c>
      <c r="K163">
        <f t="shared" si="8"/>
        <v>6.715778530440241E-76</v>
      </c>
    </row>
    <row r="164" spans="8:11" ht="13.5">
      <c r="H164">
        <v>159</v>
      </c>
      <c r="I164">
        <f t="shared" si="6"/>
        <v>3.794793009677049E-22</v>
      </c>
      <c r="J164">
        <f t="shared" si="7"/>
        <v>1.5556128123812763E-55</v>
      </c>
      <c r="K164">
        <f t="shared" si="8"/>
        <v>5.903228626188522E-77</v>
      </c>
    </row>
    <row r="165" spans="8:11" ht="13.5">
      <c r="H165">
        <v>160</v>
      </c>
      <c r="I165">
        <f t="shared" si="6"/>
        <v>1.5811637540321034E-22</v>
      </c>
      <c r="J165">
        <f t="shared" si="7"/>
        <v>3.240860025794326E-56</v>
      </c>
      <c r="K165">
        <f t="shared" si="8"/>
        <v>5.124330404677536E-78</v>
      </c>
    </row>
    <row r="166" spans="8:11" ht="13.5">
      <c r="H166">
        <v>161</v>
      </c>
      <c r="I166">
        <f t="shared" si="6"/>
        <v>6.547261921457984E-23</v>
      </c>
      <c r="J166">
        <f t="shared" si="7"/>
        <v>6.709855125868171E-57</v>
      </c>
      <c r="K166">
        <f t="shared" si="8"/>
        <v>4.393117896409635E-79</v>
      </c>
    </row>
    <row r="167" spans="8:11" ht="13.5">
      <c r="H167">
        <v>162</v>
      </c>
      <c r="I167">
        <f t="shared" si="6"/>
        <v>2.6943464697357955E-23</v>
      </c>
      <c r="J167">
        <f t="shared" si="7"/>
        <v>1.3806286267218461E-57</v>
      </c>
      <c r="K167">
        <f t="shared" si="8"/>
        <v>3.719891866424185E-80</v>
      </c>
    </row>
    <row r="168" spans="8:11" ht="13.5">
      <c r="H168">
        <v>163</v>
      </c>
      <c r="I168">
        <f t="shared" si="6"/>
        <v>1.1019821962109591E-23</v>
      </c>
      <c r="J168">
        <f t="shared" si="7"/>
        <v>2.8233714247890516E-58</v>
      </c>
      <c r="K168">
        <f t="shared" si="8"/>
        <v>3.1113050434083037E-81</v>
      </c>
    </row>
    <row r="169" spans="8:11" ht="13.5">
      <c r="H169">
        <v>164</v>
      </c>
      <c r="I169">
        <f t="shared" si="6"/>
        <v>4.4796024236217844E-24</v>
      </c>
      <c r="J169">
        <f t="shared" si="7"/>
        <v>5.738559806481812E-59</v>
      </c>
      <c r="K169">
        <f t="shared" si="8"/>
        <v>2.5706466417214483E-82</v>
      </c>
    </row>
    <row r="170" spans="8:11" ht="13.5">
      <c r="H170">
        <v>165</v>
      </c>
      <c r="I170">
        <f t="shared" si="6"/>
        <v>1.8099403731805185E-24</v>
      </c>
      <c r="J170">
        <f t="shared" si="7"/>
        <v>1.1593050114104673E-59</v>
      </c>
      <c r="K170">
        <f t="shared" si="8"/>
        <v>2.0982729449823063E-83</v>
      </c>
    </row>
    <row r="171" spans="8:11" ht="13.5">
      <c r="H171">
        <v>166</v>
      </c>
      <c r="I171">
        <f t="shared" si="6"/>
        <v>7.268836840082403E-25</v>
      </c>
      <c r="J171">
        <f t="shared" si="7"/>
        <v>2.327921709659573E-60</v>
      </c>
      <c r="K171">
        <f t="shared" si="8"/>
        <v>1.6921283084001116E-84</v>
      </c>
    </row>
    <row r="172" spans="8:11" ht="13.5">
      <c r="H172">
        <v>167</v>
      </c>
      <c r="I172">
        <f t="shared" si="6"/>
        <v>2.9017312734859887E-25</v>
      </c>
      <c r="J172">
        <f t="shared" si="7"/>
        <v>4.6465503186817825E-61</v>
      </c>
      <c r="K172">
        <f t="shared" si="8"/>
        <v>1.3483040373545214E-85</v>
      </c>
    </row>
    <row r="173" spans="8:11" ht="13.5">
      <c r="H173">
        <v>168</v>
      </c>
      <c r="I173">
        <f t="shared" si="6"/>
        <v>1.1514806640817413E-25</v>
      </c>
      <c r="J173">
        <f t="shared" si="7"/>
        <v>9.219345870400361E-62</v>
      </c>
      <c r="K173">
        <f t="shared" si="8"/>
        <v>1.0615898505247868E-86</v>
      </c>
    </row>
    <row r="174" spans="8:11" ht="13.5">
      <c r="H174">
        <v>169</v>
      </c>
      <c r="I174">
        <f t="shared" si="6"/>
        <v>4.542330035825409E-26</v>
      </c>
      <c r="J174">
        <f t="shared" si="7"/>
        <v>1.8184114142801504E-62</v>
      </c>
      <c r="K174">
        <f t="shared" si="8"/>
        <v>8.259824784572488E-88</v>
      </c>
    </row>
    <row r="175" spans="8:11" ht="13.5">
      <c r="H175">
        <v>170</v>
      </c>
      <c r="I175">
        <f t="shared" si="6"/>
        <v>1.781305896402121E-26</v>
      </c>
      <c r="J175">
        <f t="shared" si="7"/>
        <v>3.565512577019903E-63</v>
      </c>
      <c r="K175">
        <f t="shared" si="8"/>
        <v>6.351268577141473E-89</v>
      </c>
    </row>
    <row r="176" spans="8:11" ht="13.5">
      <c r="H176">
        <v>171</v>
      </c>
      <c r="I176">
        <f t="shared" si="6"/>
        <v>6.94466236414082E-27</v>
      </c>
      <c r="J176">
        <f t="shared" si="7"/>
        <v>6.950316914268817E-64</v>
      </c>
      <c r="K176">
        <f t="shared" si="8"/>
        <v>4.826760429337402E-90</v>
      </c>
    </row>
    <row r="177" spans="8:11" ht="13.5">
      <c r="H177">
        <v>172</v>
      </c>
      <c r="I177">
        <f t="shared" si="6"/>
        <v>2.6917295985041937E-27</v>
      </c>
      <c r="J177">
        <f t="shared" si="7"/>
        <v>1.3469606423001584E-64</v>
      </c>
      <c r="K177">
        <f t="shared" si="8"/>
        <v>3.625653828899556E-91</v>
      </c>
    </row>
    <row r="178" spans="8:11" ht="13.5">
      <c r="H178">
        <v>173</v>
      </c>
      <c r="I178">
        <f t="shared" si="6"/>
        <v>1.0372753751461247E-27</v>
      </c>
      <c r="J178">
        <f t="shared" si="7"/>
        <v>2.5952998888249683E-65</v>
      </c>
      <c r="K178">
        <f t="shared" si="8"/>
        <v>2.692040665797615E-92</v>
      </c>
    </row>
    <row r="179" spans="8:11" ht="13.5">
      <c r="H179">
        <v>174</v>
      </c>
      <c r="I179">
        <f t="shared" si="6"/>
        <v>3.974235153816569E-28</v>
      </c>
      <c r="J179">
        <f t="shared" si="7"/>
        <v>4.971838867480782E-66</v>
      </c>
      <c r="K179">
        <f t="shared" si="8"/>
        <v>1.9759256806253684E-93</v>
      </c>
    </row>
    <row r="180" spans="8:11" ht="13.5">
      <c r="H180">
        <v>175</v>
      </c>
      <c r="I180">
        <f t="shared" si="6"/>
        <v>1.5139943443110737E-28</v>
      </c>
      <c r="J180">
        <f t="shared" si="7"/>
        <v>9.470169271391966E-67</v>
      </c>
      <c r="K180">
        <f t="shared" si="8"/>
        <v>1.4337782716555958E-94</v>
      </c>
    </row>
    <row r="181" spans="8:11" ht="13.5">
      <c r="H181">
        <v>176</v>
      </c>
      <c r="I181">
        <f t="shared" si="6"/>
        <v>5.734827061784369E-29</v>
      </c>
      <c r="J181">
        <f t="shared" si="7"/>
        <v>1.7935926650363575E-67</v>
      </c>
      <c r="K181">
        <f t="shared" si="8"/>
        <v>1.028594375326845E-95</v>
      </c>
    </row>
    <row r="182" spans="8:11" ht="13.5">
      <c r="H182">
        <v>177</v>
      </c>
      <c r="I182">
        <f t="shared" si="6"/>
        <v>2.160010192762474E-29</v>
      </c>
      <c r="J182">
        <f t="shared" si="7"/>
        <v>3.3777639642869256E-68</v>
      </c>
      <c r="K182">
        <f t="shared" si="8"/>
        <v>7.296004591605541E-97</v>
      </c>
    </row>
    <row r="183" spans="8:11" ht="13.5">
      <c r="H183">
        <v>178</v>
      </c>
      <c r="I183">
        <f t="shared" si="6"/>
        <v>8.08992581558979E-30</v>
      </c>
      <c r="J183">
        <f t="shared" si="7"/>
        <v>6.325400682185254E-69</v>
      </c>
      <c r="K183">
        <f t="shared" si="8"/>
        <v>5.117202227275975E-98</v>
      </c>
    </row>
    <row r="184" spans="8:11" ht="13.5">
      <c r="H184">
        <v>179</v>
      </c>
      <c r="I184">
        <f t="shared" si="6"/>
        <v>3.0130077525474075E-30</v>
      </c>
      <c r="J184">
        <f t="shared" si="7"/>
        <v>1.1779144659562855E-69</v>
      </c>
      <c r="K184">
        <f t="shared" si="8"/>
        <v>3.5490654177640278E-99</v>
      </c>
    </row>
    <row r="185" spans="8:11" ht="13.5">
      <c r="H185">
        <v>180</v>
      </c>
      <c r="I185">
        <f t="shared" si="6"/>
        <v>1.1159287972397804E-30</v>
      </c>
      <c r="J185">
        <f t="shared" si="7"/>
        <v>2.181323085104233E-70</v>
      </c>
      <c r="K185">
        <f t="shared" si="8"/>
        <v>2.434201246751734E-100</v>
      </c>
    </row>
    <row r="186" spans="8:11" ht="13.5">
      <c r="H186">
        <v>181</v>
      </c>
      <c r="I186">
        <f t="shared" si="6"/>
        <v>4.110234980625341E-31</v>
      </c>
      <c r="J186">
        <f t="shared" si="7"/>
        <v>4.017169585827317E-71</v>
      </c>
      <c r="K186">
        <f t="shared" si="8"/>
        <v>1.6511510954771653E-101</v>
      </c>
    </row>
    <row r="187" spans="8:11" ht="13.5">
      <c r="H187">
        <v>182</v>
      </c>
      <c r="I187">
        <f t="shared" si="6"/>
        <v>1.5055805789836411E-31</v>
      </c>
      <c r="J187">
        <f t="shared" si="7"/>
        <v>7.357453453896186E-72</v>
      </c>
      <c r="K187">
        <f t="shared" si="8"/>
        <v>1.107723903096221E-102</v>
      </c>
    </row>
    <row r="188" spans="8:11" ht="13.5">
      <c r="H188">
        <v>183</v>
      </c>
      <c r="I188">
        <f t="shared" si="6"/>
        <v>5.48481085239942E-32</v>
      </c>
      <c r="J188">
        <f t="shared" si="7"/>
        <v>1.340155456083094E-72</v>
      </c>
      <c r="K188">
        <f t="shared" si="8"/>
        <v>7.350499189426848E-104</v>
      </c>
    </row>
    <row r="189" spans="8:11" ht="13.5">
      <c r="H189">
        <v>184</v>
      </c>
      <c r="I189">
        <f t="shared" si="6"/>
        <v>1.9872503088403694E-32</v>
      </c>
      <c r="J189">
        <f t="shared" si="7"/>
        <v>2.4278178552229963E-73</v>
      </c>
      <c r="K189">
        <f t="shared" si="8"/>
        <v>4.8246817826000624E-105</v>
      </c>
    </row>
    <row r="190" spans="8:11" ht="13.5">
      <c r="H190">
        <v>185</v>
      </c>
      <c r="I190">
        <f t="shared" si="6"/>
        <v>7.161262374199528E-33</v>
      </c>
      <c r="J190">
        <f t="shared" si="7"/>
        <v>4.374446585987381E-74</v>
      </c>
      <c r="K190">
        <f t="shared" si="8"/>
        <v>3.1326559744177013E-106</v>
      </c>
    </row>
    <row r="191" spans="8:11" ht="13.5">
      <c r="H191">
        <v>186</v>
      </c>
      <c r="I191">
        <f t="shared" si="6"/>
        <v>2.566760707598397E-33</v>
      </c>
      <c r="J191">
        <f t="shared" si="7"/>
        <v>7.839510010730074E-75</v>
      </c>
      <c r="K191">
        <f t="shared" si="8"/>
        <v>2.0122146262366242E-107</v>
      </c>
    </row>
    <row r="192" spans="8:11" ht="13.5">
      <c r="H192">
        <v>187</v>
      </c>
      <c r="I192">
        <f t="shared" si="6"/>
        <v>9.150662059174318E-34</v>
      </c>
      <c r="J192">
        <f t="shared" si="7"/>
        <v>1.3974171142121345E-75</v>
      </c>
      <c r="K192">
        <f t="shared" si="8"/>
        <v>1.2787291767861845E-108</v>
      </c>
    </row>
    <row r="193" spans="8:11" ht="13.5">
      <c r="H193">
        <v>188</v>
      </c>
      <c r="I193">
        <f t="shared" si="6"/>
        <v>3.2449156238206794E-34</v>
      </c>
      <c r="J193">
        <f t="shared" si="7"/>
        <v>2.4776899188158415E-76</v>
      </c>
      <c r="K193">
        <f t="shared" si="8"/>
        <v>8.039894728548515E-110</v>
      </c>
    </row>
    <row r="194" spans="8:11" ht="13.5">
      <c r="H194">
        <v>189</v>
      </c>
      <c r="I194">
        <f t="shared" si="6"/>
        <v>1.1445910489667298E-34</v>
      </c>
      <c r="J194">
        <f t="shared" si="7"/>
        <v>4.369823489975029E-77</v>
      </c>
      <c r="K194">
        <f t="shared" si="8"/>
        <v>5.001660852189975E-111</v>
      </c>
    </row>
    <row r="195" spans="8:11" ht="13.5">
      <c r="H195">
        <v>190</v>
      </c>
      <c r="I195">
        <f t="shared" si="6"/>
        <v>4.016108943742911E-35</v>
      </c>
      <c r="J195">
        <f t="shared" si="7"/>
        <v>7.666356999956193E-78</v>
      </c>
      <c r="K195">
        <f t="shared" si="8"/>
        <v>3.078892491345014E-112</v>
      </c>
    </row>
    <row r="196" spans="8:11" ht="13.5">
      <c r="H196">
        <v>191</v>
      </c>
      <c r="I196">
        <f t="shared" si="6"/>
        <v>1.401783226437316E-35</v>
      </c>
      <c r="J196">
        <f t="shared" si="7"/>
        <v>1.3379331588056183E-78</v>
      </c>
      <c r="K196">
        <f t="shared" si="8"/>
        <v>1.8754922601080095E-113</v>
      </c>
    </row>
    <row r="197" spans="8:11" ht="13.5">
      <c r="H197">
        <v>192</v>
      </c>
      <c r="I197">
        <f t="shared" si="6"/>
        <v>4.867302869574014E-36</v>
      </c>
      <c r="J197">
        <f t="shared" si="7"/>
        <v>2.3228006229264207E-79</v>
      </c>
      <c r="K197">
        <f t="shared" si="8"/>
        <v>1.1305774137418074E-114</v>
      </c>
    </row>
    <row r="198" spans="8:11" ht="13.5">
      <c r="H198">
        <v>193</v>
      </c>
      <c r="I198">
        <f t="shared" si="6"/>
        <v>1.681279056847673E-36</v>
      </c>
      <c r="J198">
        <f t="shared" si="7"/>
        <v>4.011745462739933E-80</v>
      </c>
      <c r="K198">
        <f t="shared" si="8"/>
        <v>6.744863627908326E-116</v>
      </c>
    </row>
    <row r="199" spans="8:11" ht="13.5">
      <c r="H199">
        <v>194</v>
      </c>
      <c r="I199">
        <f aca="true" t="shared" si="9" ref="I199:I255">I198*I$2/$H199</f>
        <v>5.777591260644923E-37</v>
      </c>
      <c r="J199">
        <f aca="true" t="shared" si="10" ref="J199:J255">J198*J$2/$H199</f>
        <v>6.8930334411339065E-81</v>
      </c>
      <c r="K199">
        <f aca="true" t="shared" si="11" ref="K199:K255">I199*J199</f>
        <v>3.982512976882846E-117</v>
      </c>
    </row>
    <row r="200" spans="8:11" ht="13.5">
      <c r="H200">
        <v>195</v>
      </c>
      <c r="I200">
        <f t="shared" si="9"/>
        <v>1.9752448754341617E-37</v>
      </c>
      <c r="J200">
        <f t="shared" si="10"/>
        <v>1.1782963147237448E-81</v>
      </c>
      <c r="K200">
        <f t="shared" si="11"/>
        <v>2.327423757401035E-118</v>
      </c>
    </row>
    <row r="201" spans="8:11" ht="13.5">
      <c r="H201">
        <v>196</v>
      </c>
      <c r="I201">
        <f t="shared" si="9"/>
        <v>6.718519984469937E-38</v>
      </c>
      <c r="J201">
        <f t="shared" si="10"/>
        <v>2.0039052971492262E-82</v>
      </c>
      <c r="K201">
        <f t="shared" si="11"/>
        <v>1.3463277785882242E-119</v>
      </c>
    </row>
    <row r="202" spans="8:11" ht="13.5">
      <c r="H202">
        <v>197</v>
      </c>
      <c r="I202">
        <f t="shared" si="9"/>
        <v>2.273610823847694E-38</v>
      </c>
      <c r="J202">
        <f t="shared" si="10"/>
        <v>3.3907027024521596E-83</v>
      </c>
      <c r="K202">
        <f t="shared" si="11"/>
        <v>7.7091383647448565E-121</v>
      </c>
    </row>
    <row r="203" spans="8:11" ht="13.5">
      <c r="H203">
        <v>198</v>
      </c>
      <c r="I203">
        <f t="shared" si="9"/>
        <v>7.655255299150482E-39</v>
      </c>
      <c r="J203">
        <f t="shared" si="10"/>
        <v>5.708253707831919E-84</v>
      </c>
      <c r="K203">
        <f t="shared" si="11"/>
        <v>4.3698139445775684E-122</v>
      </c>
    </row>
    <row r="204" spans="8:11" ht="13.5">
      <c r="H204">
        <v>199</v>
      </c>
      <c r="I204">
        <f t="shared" si="9"/>
        <v>2.5645746395814006E-39</v>
      </c>
      <c r="J204">
        <f t="shared" si="10"/>
        <v>9.561563999718458E-85</v>
      </c>
      <c r="K204">
        <f t="shared" si="11"/>
        <v>2.452134454841246E-123</v>
      </c>
    </row>
    <row r="205" spans="8:11" ht="13.5">
      <c r="H205">
        <v>200</v>
      </c>
      <c r="I205">
        <f t="shared" si="9"/>
        <v>8.548582131938001E-40</v>
      </c>
      <c r="J205">
        <f t="shared" si="10"/>
        <v>1.5935939999530765E-85</v>
      </c>
      <c r="K205">
        <f t="shared" si="11"/>
        <v>1.3622969193562477E-124</v>
      </c>
    </row>
    <row r="206" spans="8:11" ht="13.5">
      <c r="H206">
        <v>201</v>
      </c>
      <c r="I206">
        <f t="shared" si="9"/>
        <v>2.8353506241917082E-40</v>
      </c>
      <c r="J206">
        <f t="shared" si="10"/>
        <v>2.6427761193251684E-86</v>
      </c>
      <c r="K206">
        <f t="shared" si="11"/>
        <v>7.493196919527556E-126</v>
      </c>
    </row>
    <row r="207" spans="8:11" ht="13.5">
      <c r="H207">
        <v>202</v>
      </c>
      <c r="I207">
        <f t="shared" si="9"/>
        <v>9.357592819114548E-41</v>
      </c>
      <c r="J207">
        <f t="shared" si="10"/>
        <v>4.361016698556384E-87</v>
      </c>
      <c r="K207">
        <f t="shared" si="11"/>
        <v>4.080861854244986E-127</v>
      </c>
    </row>
    <row r="208" spans="8:11" ht="13.5">
      <c r="H208">
        <v>203</v>
      </c>
      <c r="I208">
        <f t="shared" si="9"/>
        <v>3.0731010900211974E-41</v>
      </c>
      <c r="J208">
        <f t="shared" si="10"/>
        <v>7.1609469598627E-88</v>
      </c>
      <c r="K208">
        <f t="shared" si="11"/>
        <v>2.2006313907938044E-128</v>
      </c>
    </row>
    <row r="209" spans="8:11" ht="13.5">
      <c r="H209">
        <v>204</v>
      </c>
      <c r="I209">
        <f t="shared" si="9"/>
        <v>1.0042814019677113E-41</v>
      </c>
      <c r="J209">
        <f t="shared" si="10"/>
        <v>1.1700893725265851E-88</v>
      </c>
      <c r="K209">
        <f t="shared" si="11"/>
        <v>1.1750989954685185E-129</v>
      </c>
    </row>
    <row r="210" spans="8:11" ht="13.5">
      <c r="H210">
        <v>205</v>
      </c>
      <c r="I210">
        <f t="shared" si="9"/>
        <v>3.265955778756785E-42</v>
      </c>
      <c r="J210">
        <f t="shared" si="10"/>
        <v>1.902584345571683E-89</v>
      </c>
      <c r="K210">
        <f t="shared" si="11"/>
        <v>6.213756337992034E-131</v>
      </c>
    </row>
    <row r="211" spans="8:11" ht="13.5">
      <c r="H211">
        <v>206</v>
      </c>
      <c r="I211">
        <f t="shared" si="9"/>
        <v>1.0569436177206423E-42</v>
      </c>
      <c r="J211">
        <f t="shared" si="10"/>
        <v>3.0786154459088725E-90</v>
      </c>
      <c r="K211">
        <f t="shared" si="11"/>
        <v>3.253922946969572E-132</v>
      </c>
    </row>
    <row r="212" spans="8:11" ht="13.5">
      <c r="H212">
        <v>207</v>
      </c>
      <c r="I212">
        <f t="shared" si="9"/>
        <v>3.404005210050377E-43</v>
      </c>
      <c r="J212">
        <f t="shared" si="10"/>
        <v>4.9575127953444E-91</v>
      </c>
      <c r="K212">
        <f t="shared" si="11"/>
        <v>1.6875399384243748E-133</v>
      </c>
    </row>
    <row r="213" spans="8:11" ht="13.5">
      <c r="H213">
        <v>208</v>
      </c>
      <c r="I213">
        <f t="shared" si="9"/>
        <v>1.0910273109135823E-43</v>
      </c>
      <c r="J213">
        <f t="shared" si="10"/>
        <v>7.944732043821156E-92</v>
      </c>
      <c r="K213">
        <f t="shared" si="11"/>
        <v>8.667919637699165E-135</v>
      </c>
    </row>
    <row r="214" spans="8:11" ht="13.5">
      <c r="H214">
        <v>209</v>
      </c>
      <c r="I214">
        <f t="shared" si="9"/>
        <v>3.480150912005047E-44</v>
      </c>
      <c r="J214">
        <f t="shared" si="10"/>
        <v>1.2671023993335178E-92</v>
      </c>
      <c r="K214">
        <f t="shared" si="11"/>
        <v>4.409707570644325E-136</v>
      </c>
    </row>
    <row r="215" spans="8:11" ht="13.5">
      <c r="H215">
        <v>210</v>
      </c>
      <c r="I215">
        <f t="shared" si="9"/>
        <v>1.1048098133349353E-44</v>
      </c>
      <c r="J215">
        <f t="shared" si="10"/>
        <v>2.0112736497357426E-93</v>
      </c>
      <c r="K215">
        <f t="shared" si="11"/>
        <v>2.22207486553002E-137</v>
      </c>
    </row>
    <row r="216" spans="8:11" ht="13.5">
      <c r="H216">
        <v>211</v>
      </c>
      <c r="I216">
        <f t="shared" si="9"/>
        <v>3.490710310694898E-45</v>
      </c>
      <c r="J216">
        <f t="shared" si="10"/>
        <v>3.1773675351275555E-94</v>
      </c>
      <c r="K216">
        <f t="shared" si="11"/>
        <v>1.1091269615736992E-138</v>
      </c>
    </row>
    <row r="217" spans="8:11" ht="13.5">
      <c r="H217">
        <v>212</v>
      </c>
      <c r="I217">
        <f t="shared" si="9"/>
        <v>1.0977076448726094E-45</v>
      </c>
      <c r="J217">
        <f t="shared" si="10"/>
        <v>4.9958609042886095E-95</v>
      </c>
      <c r="K217">
        <f t="shared" si="11"/>
        <v>5.483994707357794E-140</v>
      </c>
    </row>
    <row r="218" spans="8:11" ht="13.5">
      <c r="H218">
        <v>213</v>
      </c>
      <c r="I218">
        <f t="shared" si="9"/>
        <v>3.4357046787875092E-46</v>
      </c>
      <c r="J218">
        <f t="shared" si="10"/>
        <v>7.818248676507997E-96</v>
      </c>
      <c r="K218">
        <f t="shared" si="11"/>
        <v>2.686119355780278E-141</v>
      </c>
    </row>
    <row r="219" spans="8:11" ht="13.5">
      <c r="H219">
        <v>214</v>
      </c>
      <c r="I219">
        <f t="shared" si="9"/>
        <v>1.070312984045953E-46</v>
      </c>
      <c r="J219">
        <f t="shared" si="10"/>
        <v>1.217795744004361E-96</v>
      </c>
      <c r="K219">
        <f t="shared" si="11"/>
        <v>1.3034225967237691E-142</v>
      </c>
    </row>
    <row r="220" spans="8:11" ht="13.5">
      <c r="H220">
        <v>215</v>
      </c>
      <c r="I220">
        <f t="shared" si="9"/>
        <v>3.318799950530086E-47</v>
      </c>
      <c r="J220">
        <f t="shared" si="10"/>
        <v>1.888055417061025E-97</v>
      </c>
      <c r="K220">
        <f t="shared" si="11"/>
        <v>6.266078224740191E-144</v>
      </c>
    </row>
    <row r="221" spans="8:11" ht="13.5">
      <c r="H221">
        <v>216</v>
      </c>
      <c r="I221">
        <f t="shared" si="9"/>
        <v>1.0243209723858288E-47</v>
      </c>
      <c r="J221">
        <f t="shared" si="10"/>
        <v>2.913665767069483E-98</v>
      </c>
      <c r="K221">
        <f t="shared" si="11"/>
        <v>2.984528951731915E-145</v>
      </c>
    </row>
    <row r="222" spans="8:11" ht="13.5">
      <c r="H222">
        <v>217</v>
      </c>
      <c r="I222">
        <f t="shared" si="9"/>
        <v>3.14691542975677E-48</v>
      </c>
      <c r="J222">
        <f t="shared" si="10"/>
        <v>4.475677061550666E-99</v>
      </c>
      <c r="K222">
        <f t="shared" si="11"/>
        <v>1.4084577203602232E-146</v>
      </c>
    </row>
    <row r="223" spans="8:11" ht="13.5">
      <c r="H223">
        <v>218</v>
      </c>
      <c r="I223">
        <f t="shared" si="9"/>
        <v>9.62359458641214E-49</v>
      </c>
      <c r="J223">
        <f t="shared" si="10"/>
        <v>6.843542907569827E-100</v>
      </c>
      <c r="K223">
        <f t="shared" si="11"/>
        <v>6.585948247716817E-148</v>
      </c>
    </row>
    <row r="224" spans="8:11" ht="13.5">
      <c r="H224">
        <v>219</v>
      </c>
      <c r="I224">
        <f t="shared" si="9"/>
        <v>2.929556951723634E-49</v>
      </c>
      <c r="J224">
        <f t="shared" si="10"/>
        <v>1.0416351457488321E-100</v>
      </c>
      <c r="K224">
        <f t="shared" si="11"/>
        <v>3.051529482388152E-149</v>
      </c>
    </row>
    <row r="225" spans="8:11" ht="13.5">
      <c r="H225">
        <v>220</v>
      </c>
      <c r="I225">
        <f t="shared" si="9"/>
        <v>8.877445308253434E-50</v>
      </c>
      <c r="J225">
        <f t="shared" si="10"/>
        <v>1.5782350693164127E-101</v>
      </c>
      <c r="K225">
        <f t="shared" si="11"/>
        <v>1.401069551142402E-150</v>
      </c>
    </row>
    <row r="226" spans="8:11" ht="13.5">
      <c r="H226">
        <v>221</v>
      </c>
      <c r="I226">
        <f t="shared" si="9"/>
        <v>2.6779623855968123E-50</v>
      </c>
      <c r="J226">
        <f t="shared" si="10"/>
        <v>2.3804450517592952E-102</v>
      </c>
      <c r="K226">
        <f t="shared" si="11"/>
        <v>6.37474230959145E-152</v>
      </c>
    </row>
    <row r="227" spans="8:11" ht="13.5">
      <c r="H227">
        <v>222</v>
      </c>
      <c r="I227">
        <f t="shared" si="9"/>
        <v>8.041929085876312E-51</v>
      </c>
      <c r="J227">
        <f t="shared" si="10"/>
        <v>3.5742418194584013E-103</v>
      </c>
      <c r="K227">
        <f t="shared" si="11"/>
        <v>2.8743799247857986E-153</v>
      </c>
    </row>
    <row r="228" spans="8:11" ht="13.5">
      <c r="H228">
        <v>223</v>
      </c>
      <c r="I228">
        <f t="shared" si="9"/>
        <v>2.4041641512335758E-51</v>
      </c>
      <c r="J228">
        <f t="shared" si="10"/>
        <v>5.342663407262185E-104</v>
      </c>
      <c r="K228">
        <f t="shared" si="11"/>
        <v>1.2844639835847175E-154</v>
      </c>
    </row>
    <row r="229" spans="8:11" ht="13.5">
      <c r="H229">
        <v>224</v>
      </c>
      <c r="I229">
        <f t="shared" si="9"/>
        <v>7.155250450099927E-52</v>
      </c>
      <c r="J229">
        <f t="shared" si="10"/>
        <v>7.950391975092539E-105</v>
      </c>
      <c r="K229">
        <f t="shared" si="11"/>
        <v>5.688704575825174E-156</v>
      </c>
    </row>
    <row r="230" spans="8:11" ht="13.5">
      <c r="H230">
        <v>225</v>
      </c>
      <c r="I230">
        <f t="shared" si="9"/>
        <v>2.120074207437015E-52</v>
      </c>
      <c r="J230">
        <f t="shared" si="10"/>
        <v>1.1778358481618577E-105</v>
      </c>
      <c r="K230">
        <f t="shared" si="11"/>
        <v>2.497099402282655E-157</v>
      </c>
    </row>
    <row r="231" spans="8:11" ht="13.5">
      <c r="H231">
        <v>226</v>
      </c>
      <c r="I231">
        <f t="shared" si="9"/>
        <v>6.253906216628362E-53</v>
      </c>
      <c r="J231">
        <f t="shared" si="10"/>
        <v>1.7372210149879909E-106</v>
      </c>
      <c r="K231">
        <f t="shared" si="11"/>
        <v>1.0864417305290828E-158</v>
      </c>
    </row>
    <row r="232" spans="8:11" ht="13.5">
      <c r="H232">
        <v>227</v>
      </c>
      <c r="I232">
        <f t="shared" si="9"/>
        <v>1.83668317668968E-53</v>
      </c>
      <c r="J232">
        <f t="shared" si="10"/>
        <v>2.5509853377209852E-107</v>
      </c>
      <c r="K232">
        <f t="shared" si="11"/>
        <v>4.6853518537741755E-160</v>
      </c>
    </row>
    <row r="233" spans="8:11" ht="13.5">
      <c r="H233">
        <v>228</v>
      </c>
      <c r="I233">
        <f t="shared" si="9"/>
        <v>5.370418645291461E-54</v>
      </c>
      <c r="J233">
        <f t="shared" si="10"/>
        <v>3.7295107276622596E-108</v>
      </c>
      <c r="K233">
        <f t="shared" si="11"/>
        <v>2.0029033949651923E-161</v>
      </c>
    </row>
    <row r="234" spans="8:11" ht="13.5">
      <c r="H234">
        <v>229</v>
      </c>
      <c r="I234">
        <f t="shared" si="9"/>
        <v>1.5634406536510805E-54</v>
      </c>
      <c r="J234">
        <f t="shared" si="10"/>
        <v>5.428691015520028E-109</v>
      </c>
      <c r="K234">
        <f t="shared" si="11"/>
        <v>8.487436229774381E-163</v>
      </c>
    </row>
    <row r="235" spans="8:11" ht="13.5">
      <c r="H235">
        <v>230</v>
      </c>
      <c r="I235">
        <f t="shared" si="9"/>
        <v>4.5317120395683486E-55</v>
      </c>
      <c r="J235">
        <f t="shared" si="10"/>
        <v>7.867668138434825E-110</v>
      </c>
      <c r="K235">
        <f t="shared" si="11"/>
        <v>3.565400642627339E-164</v>
      </c>
    </row>
    <row r="236" spans="8:11" ht="13.5">
      <c r="H236">
        <v>231</v>
      </c>
      <c r="I236">
        <f t="shared" si="9"/>
        <v>1.3078534024728277E-55</v>
      </c>
      <c r="J236">
        <f t="shared" si="10"/>
        <v>1.1353056476817928E-110</v>
      </c>
      <c r="K236">
        <f t="shared" si="11"/>
        <v>1.48481335416725E-165</v>
      </c>
    </row>
    <row r="237" spans="8:11" ht="13.5">
      <c r="H237">
        <v>232</v>
      </c>
      <c r="I237">
        <f t="shared" si="9"/>
        <v>3.7581994323931826E-56</v>
      </c>
      <c r="J237">
        <f t="shared" si="10"/>
        <v>1.6311862754048749E-111</v>
      </c>
      <c r="K237">
        <f t="shared" si="11"/>
        <v>6.13032333435415E-167</v>
      </c>
    </row>
    <row r="238" spans="8:11" ht="13.5">
      <c r="H238">
        <v>233</v>
      </c>
      <c r="I238">
        <f t="shared" si="9"/>
        <v>1.0753074198549877E-56</v>
      </c>
      <c r="J238">
        <f t="shared" si="10"/>
        <v>2.333599821752325E-112</v>
      </c>
      <c r="K238">
        <f t="shared" si="11"/>
        <v>2.5093372033025514E-168</v>
      </c>
    </row>
    <row r="239" spans="8:11" ht="13.5">
      <c r="H239">
        <v>234</v>
      </c>
      <c r="I239">
        <f t="shared" si="9"/>
        <v>3.0635539027207624E-57</v>
      </c>
      <c r="J239">
        <f t="shared" si="10"/>
        <v>3.324216270302457E-113</v>
      </c>
      <c r="K239">
        <f t="shared" si="11"/>
        <v>1.0183915728372948E-169</v>
      </c>
    </row>
    <row r="240" spans="8:11" ht="13.5">
      <c r="H240">
        <v>235</v>
      </c>
      <c r="I240">
        <f t="shared" si="9"/>
        <v>8.690933057363864E-58</v>
      </c>
      <c r="J240">
        <f t="shared" si="10"/>
        <v>4.715200383407741E-114</v>
      </c>
      <c r="K240">
        <f t="shared" si="11"/>
        <v>4.09794908842531E-171</v>
      </c>
    </row>
    <row r="241" spans="8:11" ht="13.5">
      <c r="H241">
        <v>236</v>
      </c>
      <c r="I241">
        <f t="shared" si="9"/>
        <v>2.4550658354135205E-58</v>
      </c>
      <c r="J241">
        <f t="shared" si="10"/>
        <v>6.659887547186075E-115</v>
      </c>
      <c r="K241">
        <f t="shared" si="11"/>
        <v>1.6350462384792483E-172</v>
      </c>
    </row>
    <row r="242" spans="8:11" ht="13.5">
      <c r="H242">
        <v>237</v>
      </c>
      <c r="I242">
        <f t="shared" si="9"/>
        <v>6.905951717056315E-59</v>
      </c>
      <c r="J242">
        <f t="shared" si="10"/>
        <v>9.366930446112623E-116</v>
      </c>
      <c r="K242">
        <f t="shared" si="11"/>
        <v>6.468756939787854E-174</v>
      </c>
    </row>
    <row r="243" spans="8:11" ht="13.5">
      <c r="H243">
        <v>238</v>
      </c>
      <c r="I243">
        <f t="shared" si="9"/>
        <v>1.9344402568785194E-59</v>
      </c>
      <c r="J243">
        <f t="shared" si="10"/>
        <v>1.311895020463953E-116</v>
      </c>
      <c r="K243">
        <f t="shared" si="11"/>
        <v>2.5377825403839394E-175</v>
      </c>
    </row>
    <row r="244" spans="8:11" ht="13.5">
      <c r="H244">
        <v>239</v>
      </c>
      <c r="I244">
        <f t="shared" si="9"/>
        <v>5.395928192129761E-60</v>
      </c>
      <c r="J244">
        <f t="shared" si="10"/>
        <v>1.829700168011092E-117</v>
      </c>
      <c r="K244">
        <f t="shared" si="11"/>
        <v>9.872930719715612E-177</v>
      </c>
    </row>
    <row r="245" spans="8:11" ht="13.5">
      <c r="H245">
        <v>240</v>
      </c>
      <c r="I245">
        <f t="shared" si="9"/>
        <v>1.498868942258267E-60</v>
      </c>
      <c r="J245">
        <f t="shared" si="10"/>
        <v>2.541250233348739E-118</v>
      </c>
      <c r="K245">
        <f t="shared" si="11"/>
        <v>3.809001049272998E-178</v>
      </c>
    </row>
    <row r="246" spans="8:11" ht="13.5">
      <c r="H246">
        <v>241</v>
      </c>
      <c r="I246">
        <f t="shared" si="9"/>
        <v>4.1462488029274325E-61</v>
      </c>
      <c r="J246">
        <f t="shared" si="10"/>
        <v>3.514868925793553E-119</v>
      </c>
      <c r="K246">
        <f t="shared" si="11"/>
        <v>1.457352107601835E-179</v>
      </c>
    </row>
    <row r="247" spans="8:11" ht="13.5">
      <c r="H247">
        <v>242</v>
      </c>
      <c r="I247">
        <f t="shared" si="9"/>
        <v>1.1422173010819371E-61</v>
      </c>
      <c r="J247">
        <f t="shared" si="10"/>
        <v>4.8414172531591646E-120</v>
      </c>
      <c r="K247">
        <f t="shared" si="11"/>
        <v>5.529950548314986E-181</v>
      </c>
    </row>
    <row r="248" spans="8:11" ht="13.5">
      <c r="H248">
        <v>243</v>
      </c>
      <c r="I248">
        <f t="shared" si="9"/>
        <v>3.1336551470011987E-62</v>
      </c>
      <c r="J248">
        <f t="shared" si="10"/>
        <v>6.641175930259486E-121</v>
      </c>
      <c r="K248">
        <f t="shared" si="11"/>
        <v>2.0811155135998112E-182</v>
      </c>
    </row>
    <row r="249" spans="8:11" ht="13.5">
      <c r="H249">
        <v>244</v>
      </c>
      <c r="I249">
        <f t="shared" si="9"/>
        <v>8.561899308746444E-63</v>
      </c>
      <c r="J249">
        <f t="shared" si="10"/>
        <v>9.072644713469244E-122</v>
      </c>
      <c r="K249">
        <f t="shared" si="11"/>
        <v>7.76790705007544E-184</v>
      </c>
    </row>
    <row r="250" spans="8:11" ht="13.5">
      <c r="H250">
        <v>245</v>
      </c>
      <c r="I250">
        <f t="shared" si="9"/>
        <v>2.3297685193867873E-63</v>
      </c>
      <c r="J250">
        <f t="shared" si="10"/>
        <v>1.234373430403979E-122</v>
      </c>
      <c r="K250">
        <f t="shared" si="11"/>
        <v>2.8758043593226674E-185</v>
      </c>
    </row>
    <row r="251" spans="8:11" ht="13.5">
      <c r="H251">
        <v>246</v>
      </c>
      <c r="I251">
        <f t="shared" si="9"/>
        <v>6.313735824896441E-64</v>
      </c>
      <c r="J251">
        <f t="shared" si="10"/>
        <v>1.6725927241246328E-123</v>
      </c>
      <c r="K251">
        <f t="shared" si="11"/>
        <v>1.0560308602766823E-186</v>
      </c>
    </row>
    <row r="252" spans="8:11" ht="13.5">
      <c r="H252">
        <v>247</v>
      </c>
      <c r="I252">
        <f t="shared" si="9"/>
        <v>1.704112233440335E-64</v>
      </c>
      <c r="J252">
        <f t="shared" si="10"/>
        <v>2.257210154014349E-124</v>
      </c>
      <c r="K252">
        <f t="shared" si="11"/>
        <v>3.846539436901595E-188</v>
      </c>
    </row>
    <row r="253" spans="8:11" ht="13.5">
      <c r="H253">
        <v>248</v>
      </c>
      <c r="I253">
        <f t="shared" si="9"/>
        <v>4.580946864086921E-65</v>
      </c>
      <c r="J253">
        <f t="shared" si="10"/>
        <v>3.0338846156106845E-125</v>
      </c>
      <c r="K253">
        <f t="shared" si="11"/>
        <v>1.3898064215883319E-189</v>
      </c>
    </row>
    <row r="254" spans="8:11" ht="13.5">
      <c r="H254">
        <v>249</v>
      </c>
      <c r="I254">
        <f t="shared" si="9"/>
        <v>1.2264917976136333E-65</v>
      </c>
      <c r="J254">
        <f t="shared" si="10"/>
        <v>4.0614251882338487E-126</v>
      </c>
      <c r="K254">
        <f t="shared" si="11"/>
        <v>4.981304679990222E-191</v>
      </c>
    </row>
    <row r="255" spans="8:11" ht="13.5">
      <c r="H255">
        <v>250</v>
      </c>
      <c r="I255">
        <f t="shared" si="9"/>
        <v>3.270644793636355E-66</v>
      </c>
      <c r="J255">
        <f t="shared" si="10"/>
        <v>5.415233584311798E-127</v>
      </c>
      <c r="K255">
        <f t="shared" si="11"/>
        <v>1.7711305528854122E-192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A1">
      <selection activeCell="A1" sqref="A1"/>
    </sheetView>
  </sheetViews>
  <sheetFormatPr defaultColWidth="9.00390625" defaultRowHeight="13.5"/>
  <cols>
    <col min="1" max="16384" width="9.125" style="0" customWidth="1"/>
  </cols>
  <sheetData>
    <row r="1" spans="1:5" ht="13.5">
      <c r="A1" s="1" t="s">
        <v>83</v>
      </c>
      <c r="D1">
        <v>100</v>
      </c>
      <c r="E1" s="1" t="s">
        <v>84</v>
      </c>
    </row>
    <row r="2" spans="1:6" ht="13.5">
      <c r="A2" t="s">
        <v>85</v>
      </c>
      <c r="B2" t="s">
        <v>86</v>
      </c>
      <c r="D2" s="11" t="s">
        <v>87</v>
      </c>
      <c r="E2" t="s">
        <v>88</v>
      </c>
      <c r="F2" s="1"/>
    </row>
    <row r="3" spans="1:6" ht="13.5">
      <c r="A3" s="8">
        <v>0.2</v>
      </c>
      <c r="B3">
        <f>1-A3</f>
        <v>0.8</v>
      </c>
      <c r="C3" s="1" t="s">
        <v>356</v>
      </c>
      <c r="D3" s="8">
        <v>0.5</v>
      </c>
      <c r="E3">
        <f>1-D3</f>
        <v>0.5</v>
      </c>
      <c r="F3" s="1"/>
    </row>
    <row r="4" spans="1:3" ht="13.5">
      <c r="A4" s="8">
        <v>0.1</v>
      </c>
      <c r="B4">
        <f>1-A4</f>
        <v>0.9</v>
      </c>
      <c r="C4" s="1" t="s">
        <v>357</v>
      </c>
    </row>
    <row r="5" ht="13.5">
      <c r="A5" s="1" t="s">
        <v>91</v>
      </c>
    </row>
    <row r="6" spans="1:2" ht="13.5">
      <c r="A6">
        <f>D3*A3/(D3*A3+E3*A4)</f>
        <v>0.6666666666666666</v>
      </c>
      <c r="B6">
        <f>D3*B3/(D3*B3+E3*B4)</f>
        <v>0.47058823529411764</v>
      </c>
    </row>
    <row r="7" spans="1:13" ht="13.5">
      <c r="A7" s="20" t="s">
        <v>92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7" ht="13.5">
      <c r="A8" s="1" t="s">
        <v>93</v>
      </c>
      <c r="D8" s="1" t="s">
        <v>261</v>
      </c>
      <c r="G8" s="1" t="s">
        <v>264</v>
      </c>
    </row>
    <row r="9" spans="1:8" ht="13.5">
      <c r="A9" t="s">
        <v>85</v>
      </c>
      <c r="B9" t="s">
        <v>86</v>
      </c>
      <c r="D9" s="7" t="s">
        <v>89</v>
      </c>
      <c r="E9" s="7" t="s">
        <v>90</v>
      </c>
      <c r="G9" s="7" t="s">
        <v>89</v>
      </c>
      <c r="H9" s="7" t="s">
        <v>90</v>
      </c>
    </row>
    <row r="10" spans="1:8" ht="13.5">
      <c r="A10" s="21">
        <v>1</v>
      </c>
      <c r="B10" s="13">
        <f>1-B11</f>
        <v>0.40588549841453836</v>
      </c>
      <c r="C10" t="s">
        <v>95</v>
      </c>
      <c r="D10">
        <f>$A$3*A10+$B$3*B10</f>
        <v>0.5247083987316308</v>
      </c>
      <c r="E10">
        <f>$A$4*A10+$B$4*B10</f>
        <v>0.46529694857308457</v>
      </c>
      <c r="G10">
        <f aca="true" t="shared" si="0" ref="G10:H12">$D$1*D10</f>
        <v>52.47083987316308</v>
      </c>
      <c r="H10">
        <f t="shared" si="0"/>
        <v>46.529694857308456</v>
      </c>
    </row>
    <row r="11" spans="1:10" ht="13.5">
      <c r="A11" s="14">
        <f>1-A10</f>
        <v>0</v>
      </c>
      <c r="B11" s="22">
        <v>0.5941145015854616</v>
      </c>
      <c r="C11" t="s">
        <v>96</v>
      </c>
      <c r="D11">
        <f>$A$3*A11+$B$3*B11</f>
        <v>0.47529160126836933</v>
      </c>
      <c r="E11">
        <f>$A$4*A11+$B$4*B11</f>
        <v>0.5347030514269155</v>
      </c>
      <c r="G11">
        <f t="shared" si="0"/>
        <v>47.529160126836935</v>
      </c>
      <c r="H11">
        <f t="shared" si="0"/>
        <v>53.47030514269156</v>
      </c>
      <c r="J11">
        <v>0.5882352941170443</v>
      </c>
    </row>
    <row r="12" spans="1:8" ht="13.5">
      <c r="A12" s="17">
        <v>0</v>
      </c>
      <c r="B12" s="19">
        <v>0</v>
      </c>
      <c r="C12" t="s">
        <v>97</v>
      </c>
      <c r="D12">
        <f>$A$3*A12+$B$3*B12</f>
        <v>0</v>
      </c>
      <c r="E12">
        <f>$A$4*A12+$B$4*B12</f>
        <v>0</v>
      </c>
      <c r="G12">
        <f t="shared" si="0"/>
        <v>0</v>
      </c>
      <c r="H12">
        <f t="shared" si="0"/>
        <v>0</v>
      </c>
    </row>
    <row r="13" spans="3:5" ht="13.5">
      <c r="C13" s="11" t="s">
        <v>98</v>
      </c>
      <c r="D13" s="7" t="s">
        <v>89</v>
      </c>
      <c r="E13" s="7" t="s">
        <v>90</v>
      </c>
    </row>
    <row r="14" spans="3:5" ht="13.5">
      <c r="C14" s="11" t="s">
        <v>358</v>
      </c>
      <c r="D14">
        <f>$D$1*(D10*D11)^0.5</f>
        <v>49.93891218600169</v>
      </c>
      <c r="E14">
        <f>$D$1*(E10*E11)^0.5</f>
        <v>49.87942443750338</v>
      </c>
    </row>
    <row r="15" spans="3:12" ht="13.5">
      <c r="C15" s="11" t="s">
        <v>100</v>
      </c>
      <c r="D15">
        <f>D14/(D10*$D$1)</f>
        <v>0.9517460041942957</v>
      </c>
      <c r="E15">
        <f>E14/(E10*$D$1)</f>
        <v>1.071991221744898</v>
      </c>
      <c r="G15" t="s">
        <v>101</v>
      </c>
      <c r="L15" s="1" t="s">
        <v>102</v>
      </c>
    </row>
    <row r="16" spans="3:12" ht="13.5">
      <c r="C16" s="11" t="s">
        <v>259</v>
      </c>
      <c r="D16">
        <f>2*(D10*D11)^0.5-D10-D11</f>
        <v>-0.0012217562799663462</v>
      </c>
      <c r="E16">
        <f>2*(E10*E11)^0.5-E10-E11</f>
        <v>-0.002411511249932552</v>
      </c>
      <c r="G16">
        <f>(D16-E16)</f>
        <v>0.0011897549699662058</v>
      </c>
      <c r="H16" t="s">
        <v>262</v>
      </c>
      <c r="K16" s="11" t="s">
        <v>103</v>
      </c>
      <c r="L16">
        <f>B25</f>
        <v>-4.5958104682997103E-10</v>
      </c>
    </row>
    <row r="17" spans="3:12" ht="13.5">
      <c r="C17" s="11"/>
      <c r="E17" s="11" t="s">
        <v>104</v>
      </c>
      <c r="F17" s="11"/>
      <c r="G17" s="3" t="s">
        <v>260</v>
      </c>
      <c r="H17" s="11"/>
      <c r="K17">
        <v>0.001</v>
      </c>
      <c r="L17" s="2"/>
    </row>
    <row r="18" spans="4:12" ht="13.5">
      <c r="D18" s="7" t="s">
        <v>89</v>
      </c>
      <c r="E18" s="7" t="s">
        <v>90</v>
      </c>
      <c r="G18" s="1" t="s">
        <v>263</v>
      </c>
      <c r="K18">
        <v>0.1</v>
      </c>
      <c r="L18" s="4"/>
    </row>
    <row r="19" spans="3:12" ht="13.5">
      <c r="C19" s="23" t="s">
        <v>95</v>
      </c>
      <c r="D19" s="6">
        <f>EXP($D$1*D$16)*(D$10^0.5+D$11^0.5)/(4*(PI()*D$14*D10)^0.5)</f>
        <v>0.03447534581653408</v>
      </c>
      <c r="E19" s="6">
        <f>EXP($D$1*E$16)*(E$10^0.5+E$11^0.5)/(4*(PI()*E$14*E10)^0.5)</f>
        <v>0.03251334585773896</v>
      </c>
      <c r="F19" s="23"/>
      <c r="K19">
        <v>0.2</v>
      </c>
      <c r="L19" s="4"/>
    </row>
    <row r="20" spans="3:12" ht="13.5">
      <c r="C20" s="23" t="s">
        <v>96</v>
      </c>
      <c r="D20" s="6">
        <f>EXP($D$1*D$16)*(D$10^0.5+D$11^0.5)/(4*(PI()*D$14*D11)^0.5)</f>
        <v>0.03622326299727343</v>
      </c>
      <c r="E20" s="6">
        <f>EXP($D$1*E$16)*(E$10^0.5+E$11^0.5)/(4*(PI()*E$14*E11)^0.5)</f>
        <v>0.0303298620345197</v>
      </c>
      <c r="F20" s="23"/>
      <c r="K20">
        <v>0.3</v>
      </c>
      <c r="L20" s="4"/>
    </row>
    <row r="21" spans="1:12" ht="13.5">
      <c r="A21" t="s">
        <v>85</v>
      </c>
      <c r="B21" t="s">
        <v>86</v>
      </c>
      <c r="D21" s="1"/>
      <c r="E21" s="1"/>
      <c r="G21" s="1" t="s">
        <v>361</v>
      </c>
      <c r="K21">
        <v>0.4</v>
      </c>
      <c r="L21" s="4"/>
    </row>
    <row r="22" spans="1:12" ht="13.5">
      <c r="A22">
        <f>A6*SUM($D$19:$D$20)+(1-A6)*SUM($E$19:$E$20)</f>
        <v>0.0680801418399579</v>
      </c>
      <c r="B22">
        <f>B6*SUM($D$19:$D$20)+(1-B6)*SUM($E$19:$E$20)</f>
        <v>0.06653986714945812</v>
      </c>
      <c r="C22" t="s">
        <v>105</v>
      </c>
      <c r="G22" s="7" t="s">
        <v>89</v>
      </c>
      <c r="H22" s="7" t="s">
        <v>90</v>
      </c>
      <c r="K22">
        <v>0.5</v>
      </c>
      <c r="L22" s="4"/>
    </row>
    <row r="23" spans="1:12" ht="13.5">
      <c r="A23">
        <f>(A6*D19-(1-A6)*E19)/A22</f>
        <v>0.1784041806737405</v>
      </c>
      <c r="B23">
        <f>(B6*D19-(1-B6)*E19)/B22</f>
        <v>-0.01486711201059433</v>
      </c>
      <c r="C23" s="1" t="s">
        <v>106</v>
      </c>
      <c r="G23">
        <f>D20/D19</f>
        <v>1.0507004973943166</v>
      </c>
      <c r="H23">
        <f>E20/E19</f>
        <v>0.9328434596435253</v>
      </c>
      <c r="I23" t="s">
        <v>359</v>
      </c>
      <c r="K23">
        <v>0.6</v>
      </c>
      <c r="L23" s="4"/>
    </row>
    <row r="24" spans="1:12" ht="13.5">
      <c r="A24">
        <f>((1-A6)*E20-A6*D20)/A22</f>
        <v>-0.20621120355004827</v>
      </c>
      <c r="B24">
        <f>((1-B6)*E20-B6*D20)/B22</f>
        <v>-0.014867111551013282</v>
      </c>
      <c r="C24" s="1" t="s">
        <v>107</v>
      </c>
      <c r="G24">
        <f>(D10/D11)^0.5</f>
        <v>1.0507004973943166</v>
      </c>
      <c r="H24">
        <f>(E10/E11)^0.5</f>
        <v>0.9328434596435254</v>
      </c>
      <c r="I24" t="s">
        <v>360</v>
      </c>
      <c r="K24">
        <v>0.7</v>
      </c>
      <c r="L24" s="4"/>
    </row>
    <row r="25" spans="1:12" ht="13.5">
      <c r="A25" s="8">
        <f>(A23-A24)</f>
        <v>0.38461538422378877</v>
      </c>
      <c r="B25" s="8">
        <f>(B23-B24)</f>
        <v>-4.5958104682997103E-10</v>
      </c>
      <c r="C25" s="1" t="s">
        <v>108</v>
      </c>
      <c r="K25">
        <v>0.8</v>
      </c>
      <c r="L25" s="4"/>
    </row>
    <row r="26" spans="4:12" ht="13.5">
      <c r="D26" s="1" t="s">
        <v>109</v>
      </c>
      <c r="K26">
        <v>0.9</v>
      </c>
      <c r="L26" s="4"/>
    </row>
    <row r="27" spans="1:12" ht="13.5">
      <c r="A27" s="1" t="s">
        <v>110</v>
      </c>
      <c r="K27">
        <v>0.999</v>
      </c>
      <c r="L27" s="5"/>
    </row>
    <row r="28" spans="1:4" ht="13.5">
      <c r="A28" t="s">
        <v>111</v>
      </c>
      <c r="D28" t="s">
        <v>112</v>
      </c>
    </row>
    <row r="29" spans="1:4" ht="13.5">
      <c r="A29" t="s">
        <v>113</v>
      </c>
      <c r="D29" t="s">
        <v>114</v>
      </c>
    </row>
    <row r="30" spans="1:4" ht="13.5">
      <c r="A30" t="s">
        <v>115</v>
      </c>
      <c r="D30" t="s">
        <v>116</v>
      </c>
    </row>
    <row r="31" spans="1:4" ht="13.5">
      <c r="A31" t="s">
        <v>117</v>
      </c>
      <c r="D31" t="s">
        <v>118</v>
      </c>
    </row>
    <row r="32" spans="1:4" ht="13.5">
      <c r="A32" t="s">
        <v>119</v>
      </c>
      <c r="D32" t="s">
        <v>120</v>
      </c>
    </row>
    <row r="33" spans="1:4" ht="13.5">
      <c r="A33" t="s">
        <v>121</v>
      </c>
      <c r="D33" t="s">
        <v>122</v>
      </c>
    </row>
    <row r="34" spans="1:4" ht="13.5">
      <c r="A34" t="s">
        <v>123</v>
      </c>
      <c r="D34" t="s">
        <v>124</v>
      </c>
    </row>
    <row r="35" spans="1:4" ht="13.5">
      <c r="A35" t="s">
        <v>125</v>
      </c>
      <c r="D35" t="s">
        <v>126</v>
      </c>
    </row>
    <row r="36" spans="1:4" ht="13.5">
      <c r="A36" t="s">
        <v>127</v>
      </c>
      <c r="D36" t="s">
        <v>128</v>
      </c>
    </row>
    <row r="37" spans="1:4" ht="13.5">
      <c r="A37" t="s">
        <v>129</v>
      </c>
      <c r="D37" t="s">
        <v>130</v>
      </c>
    </row>
    <row r="38" spans="1:4" ht="13.5">
      <c r="A38" t="s">
        <v>131</v>
      </c>
      <c r="D38" t="s">
        <v>132</v>
      </c>
    </row>
    <row r="39" spans="1:4" ht="13.5">
      <c r="A39" t="s">
        <v>133</v>
      </c>
      <c r="D39" t="s">
        <v>134</v>
      </c>
    </row>
    <row r="40" spans="1:4" ht="13.5">
      <c r="A40" t="s">
        <v>135</v>
      </c>
      <c r="D40" t="s">
        <v>136</v>
      </c>
    </row>
    <row r="41" ht="13.5">
      <c r="A41" t="s">
        <v>137</v>
      </c>
    </row>
    <row r="42" ht="13.5">
      <c r="A42" t="s">
        <v>138</v>
      </c>
    </row>
    <row r="43" ht="13.5">
      <c r="A43" t="s">
        <v>139</v>
      </c>
    </row>
    <row r="44" ht="13.5">
      <c r="A44" t="s">
        <v>140</v>
      </c>
    </row>
    <row r="45" ht="13.5">
      <c r="A45" t="s">
        <v>141</v>
      </c>
    </row>
    <row r="46" ht="13.5">
      <c r="A46" t="s">
        <v>142</v>
      </c>
    </row>
    <row r="47" ht="13.5">
      <c r="A47" t="s">
        <v>143</v>
      </c>
    </row>
    <row r="48" ht="13.5">
      <c r="A48" t="s">
        <v>144</v>
      </c>
    </row>
    <row r="49" ht="13.5">
      <c r="A49" t="s">
        <v>145</v>
      </c>
    </row>
    <row r="50" ht="13.5">
      <c r="A50" t="s">
        <v>146</v>
      </c>
    </row>
    <row r="51" spans="1:3" ht="13.5">
      <c r="A51" s="1" t="s">
        <v>147</v>
      </c>
      <c r="C51" s="1" t="s">
        <v>148</v>
      </c>
    </row>
  </sheetData>
  <printOptions gridLines="1" headings="1"/>
  <pageMargins left="1" right="1" top="1" bottom="1" header="0.5" footer="0.5"/>
  <pageSetup horizontalDpi="96" verticalDpi="9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4"/>
  <sheetViews>
    <sheetView workbookViewId="0" topLeftCell="A1">
      <selection activeCell="A1" sqref="A1"/>
    </sheetView>
  </sheetViews>
  <sheetFormatPr defaultColWidth="9.00390625" defaultRowHeight="13.5"/>
  <cols>
    <col min="1" max="5" width="9.125" style="0" customWidth="1"/>
    <col min="6" max="6" width="5.625" style="0" customWidth="1"/>
    <col min="7" max="16384" width="9.125" style="0" customWidth="1"/>
  </cols>
  <sheetData>
    <row r="1" spans="1:5" ht="13.5">
      <c r="A1" s="1" t="s">
        <v>83</v>
      </c>
      <c r="D1">
        <v>100</v>
      </c>
      <c r="E1" s="1" t="s">
        <v>84</v>
      </c>
    </row>
    <row r="2" spans="1:6" ht="13.5">
      <c r="A2" t="s">
        <v>85</v>
      </c>
      <c r="B2" t="s">
        <v>86</v>
      </c>
      <c r="D2" s="11" t="s">
        <v>87</v>
      </c>
      <c r="E2" t="s">
        <v>88</v>
      </c>
      <c r="F2" s="1"/>
    </row>
    <row r="3" spans="1:6" ht="13.5">
      <c r="A3" s="8">
        <v>0.2</v>
      </c>
      <c r="B3">
        <f>1-A3</f>
        <v>0.8</v>
      </c>
      <c r="C3" s="1" t="s">
        <v>356</v>
      </c>
      <c r="D3" s="8">
        <v>0.5</v>
      </c>
      <c r="E3">
        <f>1-D3</f>
        <v>0.5</v>
      </c>
      <c r="F3" s="1"/>
    </row>
    <row r="4" spans="1:3" ht="13.5">
      <c r="A4" s="8">
        <v>0.1</v>
      </c>
      <c r="B4">
        <f>1-A4</f>
        <v>0.9</v>
      </c>
      <c r="C4" s="1" t="s">
        <v>357</v>
      </c>
    </row>
    <row r="5" ht="13.5">
      <c r="A5" s="1" t="s">
        <v>91</v>
      </c>
    </row>
    <row r="6" spans="1:2" ht="13.5">
      <c r="A6">
        <f>D3*A3/(D3*A3+E3*A4)</f>
        <v>0.6666666666666666</v>
      </c>
      <c r="B6">
        <f>D3*B3/(D3*B3+E3*B4)</f>
        <v>0.47058823529411764</v>
      </c>
    </row>
    <row r="7" spans="1:13" ht="13.5">
      <c r="A7" s="20" t="s">
        <v>92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7" ht="13.5">
      <c r="A8" s="1" t="s">
        <v>93</v>
      </c>
      <c r="D8" s="1" t="s">
        <v>261</v>
      </c>
      <c r="G8" s="1" t="s">
        <v>94</v>
      </c>
    </row>
    <row r="9" spans="1:8" ht="13.5">
      <c r="A9" t="s">
        <v>85</v>
      </c>
      <c r="B9" t="s">
        <v>86</v>
      </c>
      <c r="D9" s="7" t="s">
        <v>89</v>
      </c>
      <c r="E9" s="7" t="s">
        <v>90</v>
      </c>
      <c r="G9" s="7" t="s">
        <v>89</v>
      </c>
      <c r="H9" s="7" t="s">
        <v>90</v>
      </c>
    </row>
    <row r="10" spans="1:8" ht="13.5">
      <c r="A10" s="21">
        <v>1</v>
      </c>
      <c r="B10" s="13">
        <v>0</v>
      </c>
      <c r="C10" t="s">
        <v>95</v>
      </c>
      <c r="D10">
        <f>$A$3*A10+$B$3*B10</f>
        <v>0.2</v>
      </c>
      <c r="E10">
        <f>$A$4*A10+$B$4*B10</f>
        <v>0.1</v>
      </c>
      <c r="G10">
        <f aca="true" t="shared" si="0" ref="G10:H12">$D$1*D10</f>
        <v>20</v>
      </c>
      <c r="H10">
        <f t="shared" si="0"/>
        <v>10</v>
      </c>
    </row>
    <row r="11" spans="1:10" ht="13.5">
      <c r="A11" s="14">
        <v>0</v>
      </c>
      <c r="B11" s="22">
        <v>0.17335928211637547</v>
      </c>
      <c r="C11" t="s">
        <v>96</v>
      </c>
      <c r="D11">
        <f>$A$3*A11+$B$3*B11</f>
        <v>0.13868742569310039</v>
      </c>
      <c r="E11">
        <f>$A$4*A11+$B$4*B11</f>
        <v>0.15602335390473793</v>
      </c>
      <c r="G11">
        <f t="shared" si="0"/>
        <v>13.868742569310038</v>
      </c>
      <c r="H11">
        <f t="shared" si="0"/>
        <v>15.602335390473792</v>
      </c>
      <c r="J11">
        <v>0.1715728752590808</v>
      </c>
    </row>
    <row r="12" spans="1:8" ht="13.5">
      <c r="A12" s="17">
        <f>1-A10</f>
        <v>0</v>
      </c>
      <c r="B12" s="19">
        <f>1-B11</f>
        <v>0.8266407178836246</v>
      </c>
      <c r="C12" t="s">
        <v>97</v>
      </c>
      <c r="D12">
        <f>$A$3*A12+$B$3*B12</f>
        <v>0.6613125743068997</v>
      </c>
      <c r="E12">
        <f>$A$4*A12+$B$4*B12</f>
        <v>0.7439766460952622</v>
      </c>
      <c r="G12">
        <f t="shared" si="0"/>
        <v>66.13125743068997</v>
      </c>
      <c r="H12">
        <f t="shared" si="0"/>
        <v>74.39766460952622</v>
      </c>
    </row>
    <row r="13" spans="3:5" ht="13.5">
      <c r="C13" s="11" t="s">
        <v>98</v>
      </c>
      <c r="D13" s="7" t="s">
        <v>89</v>
      </c>
      <c r="E13" s="7" t="s">
        <v>90</v>
      </c>
    </row>
    <row r="14" spans="3:12" ht="13.5">
      <c r="C14" s="11" t="s">
        <v>99</v>
      </c>
      <c r="D14">
        <f>$D$1*(D10*D11)^0.5</f>
        <v>16.654574488296024</v>
      </c>
      <c r="E14">
        <f>$D$1*(E10*E11)^0.5</f>
        <v>12.490930866222017</v>
      </c>
      <c r="L14" t="s">
        <v>149</v>
      </c>
    </row>
    <row r="15" spans="3:12" ht="13.5">
      <c r="C15" s="11" t="s">
        <v>100</v>
      </c>
      <c r="D15">
        <f>D14/(D10*$D$1)</f>
        <v>0.8327287244148012</v>
      </c>
      <c r="E15">
        <f>E14/(E10*$D$1)</f>
        <v>1.2490930866222016</v>
      </c>
      <c r="G15" s="1" t="s">
        <v>101</v>
      </c>
      <c r="K15" s="11" t="s">
        <v>103</v>
      </c>
      <c r="L15">
        <f>B24</f>
        <v>-4.1284976664750195E-10</v>
      </c>
    </row>
    <row r="16" spans="3:12" ht="13.5">
      <c r="C16" s="11" t="s">
        <v>259</v>
      </c>
      <c r="D16">
        <f>2*(D10*D11)^0.5-D10-D11</f>
        <v>-0.005595935927179885</v>
      </c>
      <c r="E16">
        <f>2*(E10*E11)^0.5-E10-E11</f>
        <v>-0.006204736580297576</v>
      </c>
      <c r="G16">
        <f>(D16-E16)</f>
        <v>0.0006088006531176915</v>
      </c>
      <c r="H16" t="s">
        <v>262</v>
      </c>
      <c r="K16">
        <v>0.001</v>
      </c>
      <c r="L16" s="2"/>
    </row>
    <row r="17" spans="3:12" ht="13.5">
      <c r="C17" s="11"/>
      <c r="E17" s="11" t="s">
        <v>104</v>
      </c>
      <c r="F17" s="11"/>
      <c r="G17" s="3" t="s">
        <v>260</v>
      </c>
      <c r="H17" s="11"/>
      <c r="K17">
        <v>0.1</v>
      </c>
      <c r="L17" s="4"/>
    </row>
    <row r="18" spans="4:12" ht="13.5">
      <c r="D18" s="7" t="s">
        <v>89</v>
      </c>
      <c r="E18" s="7" t="s">
        <v>90</v>
      </c>
      <c r="G18" s="1" t="s">
        <v>263</v>
      </c>
      <c r="K18">
        <v>0.2</v>
      </c>
      <c r="L18" s="4"/>
    </row>
    <row r="19" spans="3:12" ht="13.5">
      <c r="C19" s="23" t="s">
        <v>95</v>
      </c>
      <c r="D19">
        <f>EXP($D$1*D$16)*(D$10^0.5+D$11^0.5)/(4*(PI()*D$14*D10)^0.5)</f>
        <v>0.036196625032858934</v>
      </c>
      <c r="E19">
        <f>EXP($D$1*E$16)*(E$10^0.5+E$11^0.5)/(4*(PI()*E$14*E10)^0.5)</f>
        <v>0.04826216662914817</v>
      </c>
      <c r="F19" s="23"/>
      <c r="K19">
        <v>0.3</v>
      </c>
      <c r="L19" s="4"/>
    </row>
    <row r="20" spans="3:12" ht="13.5">
      <c r="C20" s="23" t="s">
        <v>96</v>
      </c>
      <c r="D20">
        <f>EXP($D$1*D$16)*(D$10^0.5+D$11^0.5)/(4*(PI()*D$14*D11)^0.5)</f>
        <v>0.04346748703582436</v>
      </c>
      <c r="E20">
        <f>EXP($D$1*E$16)*(E$10^0.5+E$11^0.5)/(4*(PI()*E$14*E11)^0.5)</f>
        <v>0.03863776618895454</v>
      </c>
      <c r="F20" s="23"/>
      <c r="K20">
        <v>0.4</v>
      </c>
      <c r="L20" s="4"/>
    </row>
    <row r="21" spans="1:12" ht="13.5">
      <c r="A21" t="s">
        <v>85</v>
      </c>
      <c r="B21" t="s">
        <v>86</v>
      </c>
      <c r="D21" s="1"/>
      <c r="E21" s="1"/>
      <c r="F21" s="1"/>
      <c r="G21" s="1" t="s">
        <v>361</v>
      </c>
      <c r="K21">
        <v>0.5</v>
      </c>
      <c r="L21" s="4"/>
    </row>
    <row r="22" spans="1:12" ht="13.5">
      <c r="A22">
        <f>A6*SUM($D$19:$D$20)+(1-A6)*SUM($E$19:$E$20)</f>
        <v>0.08207605231848976</v>
      </c>
      <c r="B22">
        <f>B6*SUM($D$19:$D$20)+(1-B6)*SUM($E$19:$E$20)</f>
        <v>0.08349484070072886</v>
      </c>
      <c r="C22" t="s">
        <v>105</v>
      </c>
      <c r="G22" s="7" t="s">
        <v>89</v>
      </c>
      <c r="H22" s="7" t="s">
        <v>90</v>
      </c>
      <c r="K22">
        <v>0.6</v>
      </c>
      <c r="L22" s="4"/>
    </row>
    <row r="23" spans="1:12" ht="13.5">
      <c r="A23" s="8">
        <f>(A6*D19-(1-A6)*E19)/A22</f>
        <v>0.09800294058544173</v>
      </c>
      <c r="B23">
        <f>(B6*D19-(1-B6)*E19)/B22</f>
        <v>-0.10200454105155703</v>
      </c>
      <c r="C23" s="1" t="s">
        <v>106</v>
      </c>
      <c r="G23">
        <f>D20/D19</f>
        <v>1.2008712689750776</v>
      </c>
      <c r="H23">
        <f>E20/E19</f>
        <v>0.8005808459833851</v>
      </c>
      <c r="I23" t="s">
        <v>359</v>
      </c>
      <c r="K23">
        <v>0.7</v>
      </c>
      <c r="L23" s="4"/>
    </row>
    <row r="24" spans="1:12" ht="13.5">
      <c r="A24">
        <f>((1-A6)*E20-A6*D20)/A22</f>
        <v>-0.19614819231022715</v>
      </c>
      <c r="B24" s="8">
        <f>((1-B6)*E20-B6*D20)/B22</f>
        <v>-4.1284976664750195E-10</v>
      </c>
      <c r="C24" s="1" t="s">
        <v>107</v>
      </c>
      <c r="G24">
        <f>(D10/D11)^0.5</f>
        <v>1.2008712689750776</v>
      </c>
      <c r="H24">
        <f>(E10/E11)^0.5</f>
        <v>0.8005808459833851</v>
      </c>
      <c r="I24" t="s">
        <v>360</v>
      </c>
      <c r="K24">
        <v>0.8</v>
      </c>
      <c r="L24" s="4"/>
    </row>
    <row r="25" spans="3:12" ht="13.5">
      <c r="C25" s="1" t="s">
        <v>150</v>
      </c>
      <c r="K25">
        <v>0.9</v>
      </c>
      <c r="L25" s="4"/>
    </row>
    <row r="26" spans="1:12" ht="13.5">
      <c r="A26" s="1" t="s">
        <v>110</v>
      </c>
      <c r="K26">
        <v>0.999</v>
      </c>
      <c r="L26" s="5"/>
    </row>
    <row r="27" spans="1:4" ht="13.5">
      <c r="A27" t="s">
        <v>111</v>
      </c>
      <c r="D27" t="s">
        <v>151</v>
      </c>
    </row>
    <row r="28" spans="1:4" ht="13.5">
      <c r="A28" t="s">
        <v>113</v>
      </c>
      <c r="D28" t="s">
        <v>152</v>
      </c>
    </row>
    <row r="29" spans="1:4" ht="13.5">
      <c r="A29" t="s">
        <v>115</v>
      </c>
      <c r="D29" t="s">
        <v>116</v>
      </c>
    </row>
    <row r="30" spans="1:4" ht="13.5">
      <c r="A30" t="s">
        <v>117</v>
      </c>
      <c r="D30" t="s">
        <v>118</v>
      </c>
    </row>
    <row r="31" spans="1:4" ht="13.5">
      <c r="A31" t="s">
        <v>119</v>
      </c>
      <c r="D31" t="s">
        <v>120</v>
      </c>
    </row>
    <row r="32" spans="1:4" ht="13.5">
      <c r="A32" t="s">
        <v>123</v>
      </c>
      <c r="D32" t="s">
        <v>122</v>
      </c>
    </row>
    <row r="33" spans="1:4" ht="13.5">
      <c r="A33" t="s">
        <v>125</v>
      </c>
      <c r="D33" t="s">
        <v>124</v>
      </c>
    </row>
    <row r="34" spans="1:4" ht="13.5">
      <c r="A34" t="s">
        <v>127</v>
      </c>
      <c r="D34" t="s">
        <v>126</v>
      </c>
    </row>
    <row r="35" spans="1:4" ht="13.5">
      <c r="A35" t="s">
        <v>129</v>
      </c>
      <c r="D35" t="s">
        <v>128</v>
      </c>
    </row>
    <row r="36" spans="1:4" ht="13.5">
      <c r="A36" t="s">
        <v>133</v>
      </c>
      <c r="D36" t="s">
        <v>130</v>
      </c>
    </row>
    <row r="37" spans="1:4" ht="13.5">
      <c r="A37" t="s">
        <v>135</v>
      </c>
      <c r="D37" t="s">
        <v>132</v>
      </c>
    </row>
    <row r="38" spans="1:4" ht="13.5">
      <c r="A38" t="s">
        <v>112</v>
      </c>
      <c r="D38" t="s">
        <v>134</v>
      </c>
    </row>
    <row r="39" spans="1:4" ht="13.5">
      <c r="A39" t="s">
        <v>114</v>
      </c>
      <c r="D39" t="s">
        <v>136</v>
      </c>
    </row>
    <row r="40" ht="13.5">
      <c r="A40" t="s">
        <v>137</v>
      </c>
    </row>
    <row r="41" ht="13.5">
      <c r="A41" t="s">
        <v>138</v>
      </c>
    </row>
    <row r="42" ht="13.5">
      <c r="A42" t="s">
        <v>139</v>
      </c>
    </row>
    <row r="43" ht="13.5">
      <c r="A43" t="s">
        <v>140</v>
      </c>
    </row>
    <row r="44" ht="13.5">
      <c r="A44" t="s">
        <v>141</v>
      </c>
    </row>
    <row r="45" ht="13.5">
      <c r="A45" s="3" t="s">
        <v>142</v>
      </c>
    </row>
    <row r="46" ht="13.5">
      <c r="A46" s="3" t="s">
        <v>143</v>
      </c>
    </row>
    <row r="47" ht="13.5">
      <c r="A47" s="3" t="s">
        <v>144</v>
      </c>
    </row>
    <row r="48" ht="13.5">
      <c r="A48" s="3" t="s">
        <v>145</v>
      </c>
    </row>
    <row r="49" ht="13.5">
      <c r="A49" s="3" t="s">
        <v>146</v>
      </c>
    </row>
    <row r="63" ht="13.5">
      <c r="A63" s="1"/>
    </row>
    <row r="64" ht="13.5">
      <c r="A64" s="1"/>
    </row>
    <row r="65" ht="13.5">
      <c r="A65" s="1"/>
    </row>
    <row r="66" ht="13.5">
      <c r="A66" s="1"/>
    </row>
    <row r="67" ht="13.5">
      <c r="A67" s="1"/>
    </row>
    <row r="68" ht="13.5">
      <c r="A68" s="1"/>
    </row>
    <row r="69" ht="13.5">
      <c r="A69" s="1"/>
    </row>
    <row r="70" ht="13.5">
      <c r="A70" s="1"/>
    </row>
    <row r="71" ht="13.5">
      <c r="A71" s="1"/>
    </row>
    <row r="72" ht="13.5">
      <c r="A72" s="1"/>
    </row>
    <row r="73" ht="13.5">
      <c r="A73" s="1"/>
    </row>
    <row r="74" ht="13.5">
      <c r="A74" s="1"/>
    </row>
  </sheetData>
  <printOptions gridLines="1" headings="1"/>
  <pageMargins left="1" right="1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A1" sqref="A1"/>
    </sheetView>
  </sheetViews>
  <sheetFormatPr defaultColWidth="9.00390625" defaultRowHeight="13.5"/>
  <cols>
    <col min="1" max="16384" width="8.875" style="0" customWidth="1"/>
  </cols>
  <sheetData>
    <row r="1" ht="13.5">
      <c r="A1" s="1" t="s">
        <v>484</v>
      </c>
    </row>
    <row r="2" spans="1:2" ht="13.5">
      <c r="A2" s="8">
        <v>0.6</v>
      </c>
      <c r="B2" s="1" t="s">
        <v>483</v>
      </c>
    </row>
    <row r="3" ht="13.5">
      <c r="A3" t="s">
        <v>455</v>
      </c>
    </row>
    <row r="4" ht="13.5">
      <c r="A4" t="s">
        <v>456</v>
      </c>
    </row>
    <row r="5" ht="13.5">
      <c r="A5" s="1" t="s">
        <v>458</v>
      </c>
    </row>
    <row r="6" ht="13.5">
      <c r="A6" t="s">
        <v>457</v>
      </c>
    </row>
    <row r="7" ht="13.5">
      <c r="A7" s="1" t="s">
        <v>460</v>
      </c>
    </row>
    <row r="8" spans="1:2" ht="13.5">
      <c r="A8" s="8">
        <f>2/3</f>
        <v>0.6666666666666666</v>
      </c>
      <c r="B8" t="s">
        <v>459</v>
      </c>
    </row>
    <row r="10" ht="13.5">
      <c r="A10" s="1" t="s">
        <v>461</v>
      </c>
    </row>
    <row r="11" spans="1:2" ht="13.5">
      <c r="A11" s="8">
        <v>0.696948104214455</v>
      </c>
      <c r="B11" s="1" t="s">
        <v>462</v>
      </c>
    </row>
    <row r="12" spans="1:2" ht="13.5">
      <c r="A12">
        <f>1-A11</f>
        <v>0.30305189578554503</v>
      </c>
      <c r="B12" s="1" t="s">
        <v>463</v>
      </c>
    </row>
    <row r="13" spans="1:2" ht="13.5">
      <c r="A13" s="1" t="s">
        <v>465</v>
      </c>
      <c r="B13" s="1"/>
    </row>
    <row r="14" ht="13.5">
      <c r="A14" s="1" t="s">
        <v>474</v>
      </c>
    </row>
    <row r="15" spans="1:7" ht="13.5">
      <c r="A15">
        <f>$A$2*$A$11</f>
        <v>0.41816886252867297</v>
      </c>
      <c r="B15" s="1" t="s">
        <v>464</v>
      </c>
      <c r="F15">
        <f>A15+A16</f>
        <v>0.539389620842891</v>
      </c>
      <c r="G15" s="1" t="s">
        <v>466</v>
      </c>
    </row>
    <row r="16" spans="1:7" ht="13.5">
      <c r="A16">
        <f>$A$2*$A$8*(1-$A$11)</f>
        <v>0.121220758314218</v>
      </c>
      <c r="B16" s="1" t="s">
        <v>475</v>
      </c>
      <c r="F16">
        <f>A15+A17</f>
        <v>0.478779241685782</v>
      </c>
      <c r="G16" s="1" t="s">
        <v>467</v>
      </c>
    </row>
    <row r="17" spans="1:7" ht="13.5">
      <c r="A17">
        <f>$A$2*(1-$A$8)*(1-$A$11)</f>
        <v>0.06061037915710901</v>
      </c>
      <c r="B17" s="1" t="s">
        <v>476</v>
      </c>
      <c r="F17">
        <f>A15+(A16*A17)^0.5</f>
        <v>0.5038848827532321</v>
      </c>
      <c r="G17" s="1" t="s">
        <v>485</v>
      </c>
    </row>
    <row r="18" spans="1:7" ht="13.5">
      <c r="A18">
        <f>(1-$A$2)</f>
        <v>0.4</v>
      </c>
      <c r="B18" s="1" t="s">
        <v>477</v>
      </c>
      <c r="F18" t="b">
        <f>F17&gt;A18</f>
        <v>1</v>
      </c>
      <c r="G18" s="1" t="s">
        <v>471</v>
      </c>
    </row>
    <row r="19" spans="1:7" ht="13.5">
      <c r="A19">
        <f>0-(A16^0.5-A17^0.5)^2</f>
        <v>-0.010399097022208774</v>
      </c>
      <c r="B19" s="1" t="s">
        <v>468</v>
      </c>
      <c r="F19">
        <f>((A15+A16)*A18)^0.5</f>
        <v>0.46449526191034113</v>
      </c>
      <c r="G19" s="1" t="s">
        <v>472</v>
      </c>
    </row>
    <row r="20" spans="1:7" ht="13.5">
      <c r="A20">
        <f>0-((A15+A16)^0.5-A18^0.5)^2</f>
        <v>-0.01039909702220874</v>
      </c>
      <c r="B20" s="1" t="s">
        <v>469</v>
      </c>
      <c r="F20">
        <f>F16*(F19/F15)</f>
        <v>0.4123006462685495</v>
      </c>
      <c r="G20" s="1" t="s">
        <v>473</v>
      </c>
    </row>
    <row r="21" spans="1:7" ht="13.5">
      <c r="A21">
        <f>(A19-A20)</f>
        <v>-3.469446951953614E-17</v>
      </c>
      <c r="B21" s="1" t="s">
        <v>482</v>
      </c>
      <c r="F21" t="b">
        <f>F19&gt;F20</f>
        <v>1</v>
      </c>
      <c r="G21" s="1" t="s">
        <v>470</v>
      </c>
    </row>
    <row r="22" spans="1:2" ht="13.5">
      <c r="A22">
        <f>(A16/A17)^0.5</f>
        <v>1.414213562373095</v>
      </c>
      <c r="B22" s="1" t="s">
        <v>478</v>
      </c>
    </row>
    <row r="23" spans="1:2" ht="13.5">
      <c r="A23" s="8">
        <v>1.414213562373095</v>
      </c>
      <c r="B23" s="1" t="s">
        <v>479</v>
      </c>
    </row>
    <row r="24" spans="1:2" ht="13.5">
      <c r="A24">
        <f>(2*(1-A8)*A23-A8*A22)</f>
        <v>1.1102230246251565E-16</v>
      </c>
      <c r="B24" s="1" t="s">
        <v>480</v>
      </c>
    </row>
    <row r="25" ht="13.5">
      <c r="B25" t="s">
        <v>481</v>
      </c>
    </row>
  </sheetData>
  <printOptions gridLines="1" headings="1"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A1" sqref="A1"/>
    </sheetView>
  </sheetViews>
  <sheetFormatPr defaultColWidth="9.00390625" defaultRowHeight="13.5"/>
  <cols>
    <col min="1" max="2" width="8.875" style="0" customWidth="1"/>
    <col min="3" max="3" width="6.875" style="0" customWidth="1"/>
    <col min="4" max="16384" width="8.875" style="0" customWidth="1"/>
  </cols>
  <sheetData>
    <row r="1" spans="1:2" ht="13.5">
      <c r="A1">
        <v>0.5</v>
      </c>
      <c r="B1" t="s">
        <v>364</v>
      </c>
    </row>
    <row r="2" ht="13.5">
      <c r="A2" t="s">
        <v>365</v>
      </c>
    </row>
    <row r="3" ht="13.5">
      <c r="A3" s="1" t="s">
        <v>369</v>
      </c>
    </row>
    <row r="4" spans="4:6" ht="13.5">
      <c r="D4" s="1" t="s">
        <v>366</v>
      </c>
      <c r="F4" s="1"/>
    </row>
    <row r="5" spans="1:5" ht="13.5">
      <c r="A5" s="7" t="s">
        <v>363</v>
      </c>
      <c r="B5" t="s">
        <v>371</v>
      </c>
      <c r="C5" s="7" t="s">
        <v>362</v>
      </c>
      <c r="D5" s="7" t="s">
        <v>367</v>
      </c>
      <c r="E5" s="7" t="s">
        <v>368</v>
      </c>
    </row>
    <row r="6" spans="1:5" ht="13.5">
      <c r="A6">
        <v>1</v>
      </c>
      <c r="B6">
        <v>0.2</v>
      </c>
      <c r="C6" s="8">
        <v>1</v>
      </c>
      <c r="D6">
        <f>0.2+0.5*C6</f>
        <v>0.7</v>
      </c>
      <c r="E6">
        <f>0.1+0.25*C6</f>
        <v>0.35</v>
      </c>
    </row>
    <row r="7" spans="1:5" ht="13.5">
      <c r="A7" s="11" t="s">
        <v>370</v>
      </c>
      <c r="B7">
        <v>0.8</v>
      </c>
      <c r="C7">
        <f>(1-C6)/4</f>
        <v>0</v>
      </c>
      <c r="D7">
        <f>0.2+0.5*C7</f>
        <v>0.2</v>
      </c>
      <c r="E7">
        <f>0.1+0.25*C7</f>
        <v>0.1</v>
      </c>
    </row>
    <row r="9" spans="4:7" ht="13.5">
      <c r="D9" s="1" t="s">
        <v>373</v>
      </c>
      <c r="F9" s="7" t="s">
        <v>414</v>
      </c>
      <c r="G9" t="s">
        <v>374</v>
      </c>
    </row>
    <row r="10" spans="1:9" ht="13.5">
      <c r="A10" s="1" t="s">
        <v>372</v>
      </c>
      <c r="D10" s="7" t="s">
        <v>367</v>
      </c>
      <c r="E10" s="7" t="s">
        <v>368</v>
      </c>
      <c r="F10" s="1" t="s">
        <v>378</v>
      </c>
      <c r="G10" t="s">
        <v>375</v>
      </c>
      <c r="H10" t="s">
        <v>376</v>
      </c>
      <c r="I10" t="s">
        <v>377</v>
      </c>
    </row>
    <row r="11" spans="1:9" ht="13.5">
      <c r="A11" s="1" t="s">
        <v>410</v>
      </c>
      <c r="D11">
        <f>$B$6*D6</f>
        <v>0.13999999999999999</v>
      </c>
      <c r="E11">
        <f>$B$6*E6</f>
        <v>0.06999999999999999</v>
      </c>
      <c r="F11">
        <f>D11/E11</f>
        <v>2</v>
      </c>
      <c r="G11" s="29">
        <v>1</v>
      </c>
      <c r="H11" s="30">
        <v>0</v>
      </c>
      <c r="I11" s="31">
        <v>0</v>
      </c>
    </row>
    <row r="12" spans="1:9" ht="13.5">
      <c r="A12" s="1" t="s">
        <v>411</v>
      </c>
      <c r="D12">
        <f>$B$7*D7</f>
        <v>0.16000000000000003</v>
      </c>
      <c r="E12">
        <f>$B$7*E7</f>
        <v>0.08000000000000002</v>
      </c>
      <c r="F12">
        <f>D12/E12</f>
        <v>2</v>
      </c>
      <c r="G12" s="32">
        <v>1</v>
      </c>
      <c r="H12" s="15">
        <v>0</v>
      </c>
      <c r="I12" s="33">
        <v>0</v>
      </c>
    </row>
    <row r="13" spans="1:9" ht="13.5">
      <c r="A13" s="1" t="s">
        <v>412</v>
      </c>
      <c r="D13">
        <f>$B$7-D12</f>
        <v>0.64</v>
      </c>
      <c r="E13">
        <f>$B$7-E12</f>
        <v>0.72</v>
      </c>
      <c r="F13">
        <f>D13/E13</f>
        <v>0.888888888888889</v>
      </c>
      <c r="G13" s="32">
        <v>0</v>
      </c>
      <c r="H13" s="8">
        <v>0.18473975992863845</v>
      </c>
      <c r="I13" s="33">
        <f>1-H13</f>
        <v>0.8152602400713616</v>
      </c>
    </row>
    <row r="14" spans="1:9" ht="13.5">
      <c r="A14" s="1" t="s">
        <v>413</v>
      </c>
      <c r="D14">
        <f>$B$6-D11</f>
        <v>0.060000000000000026</v>
      </c>
      <c r="E14">
        <f>$B$6-E11</f>
        <v>0.13</v>
      </c>
      <c r="F14">
        <f>D14/E14</f>
        <v>0.46153846153846173</v>
      </c>
      <c r="G14" s="34">
        <v>0</v>
      </c>
      <c r="H14" s="35">
        <v>1</v>
      </c>
      <c r="I14" s="36">
        <v>0</v>
      </c>
    </row>
    <row r="16" spans="4:5" ht="13.5">
      <c r="D16" s="7" t="s">
        <v>367</v>
      </c>
      <c r="E16" s="7" t="s">
        <v>368</v>
      </c>
    </row>
    <row r="17" spans="4:6" ht="13.5">
      <c r="D17">
        <f>SUMPRODUCT(D11:D14,$G$11:$G$14)</f>
        <v>0.30000000000000004</v>
      </c>
      <c r="E17">
        <f>SUMPRODUCT(E11:E14,$G$11:$G$14)</f>
        <v>0.15000000000000002</v>
      </c>
      <c r="F17" s="1" t="s">
        <v>379</v>
      </c>
    </row>
    <row r="18" spans="4:6" ht="13.5">
      <c r="D18">
        <f>SUMPRODUCT(D11:D14,$H$11:$H$14)</f>
        <v>0.17823344635432864</v>
      </c>
      <c r="E18">
        <f>SUMPRODUCT(E11:E14,$H$11:$H$14)</f>
        <v>0.26301262714861967</v>
      </c>
      <c r="F18" s="1" t="s">
        <v>380</v>
      </c>
    </row>
    <row r="19" spans="4:6" ht="13.5">
      <c r="D19">
        <f>0-(D17^0.5-D18^0.5)^2</f>
        <v>-0.015761678972584195</v>
      </c>
      <c r="E19">
        <f>0-(E17^0.5-E18^0.5)^2</f>
        <v>-0.015762609792834257</v>
      </c>
      <c r="F19" t="s">
        <v>381</v>
      </c>
    </row>
    <row r="20" spans="5:6" ht="13.5">
      <c r="E20">
        <f>(D19-E19)</f>
        <v>9.308202500619978E-07</v>
      </c>
      <c r="F20" t="s">
        <v>382</v>
      </c>
    </row>
    <row r="21" ht="13.5">
      <c r="A21" t="s">
        <v>383</v>
      </c>
    </row>
    <row r="22" ht="13.5">
      <c r="A22" s="1" t="s">
        <v>415</v>
      </c>
    </row>
    <row r="24" ht="13.5">
      <c r="A24" t="s">
        <v>409</v>
      </c>
    </row>
    <row r="25" spans="1:4" ht="13.5">
      <c r="A25" t="s">
        <v>384</v>
      </c>
      <c r="D25" t="s">
        <v>402</v>
      </c>
    </row>
    <row r="26" spans="1:4" ht="13.5">
      <c r="A26" t="s">
        <v>385</v>
      </c>
      <c r="D26" t="s">
        <v>403</v>
      </c>
    </row>
    <row r="27" spans="1:4" ht="13.5">
      <c r="A27" t="s">
        <v>386</v>
      </c>
      <c r="D27" t="s">
        <v>404</v>
      </c>
    </row>
    <row r="28" spans="1:4" ht="13.5">
      <c r="A28" t="s">
        <v>387</v>
      </c>
      <c r="D28" t="s">
        <v>405</v>
      </c>
    </row>
    <row r="29" spans="1:4" ht="13.5">
      <c r="A29" t="s">
        <v>388</v>
      </c>
      <c r="D29" t="s">
        <v>406</v>
      </c>
    </row>
    <row r="30" spans="1:4" ht="13.5">
      <c r="A30" t="s">
        <v>389</v>
      </c>
      <c r="D30" t="s">
        <v>407</v>
      </c>
    </row>
    <row r="31" spans="1:4" ht="13.5">
      <c r="A31" t="s">
        <v>390</v>
      </c>
      <c r="D31" t="s">
        <v>408</v>
      </c>
    </row>
    <row r="32" ht="13.5">
      <c r="A32" t="s">
        <v>391</v>
      </c>
    </row>
    <row r="33" ht="13.5">
      <c r="A33" t="s">
        <v>392</v>
      </c>
    </row>
    <row r="34" ht="13.5">
      <c r="A34" t="s">
        <v>393</v>
      </c>
    </row>
    <row r="35" ht="13.5">
      <c r="A35" t="s">
        <v>394</v>
      </c>
    </row>
    <row r="36" ht="13.5">
      <c r="A36" t="s">
        <v>395</v>
      </c>
    </row>
    <row r="37" ht="13.5">
      <c r="A37" t="s">
        <v>396</v>
      </c>
    </row>
    <row r="38" ht="13.5">
      <c r="A38" t="s">
        <v>397</v>
      </c>
    </row>
    <row r="39" ht="13.5">
      <c r="A39" t="s">
        <v>398</v>
      </c>
    </row>
    <row r="40" ht="13.5">
      <c r="A40" t="s">
        <v>399</v>
      </c>
    </row>
    <row r="41" ht="13.5">
      <c r="A41" t="s">
        <v>400</v>
      </c>
    </row>
    <row r="42" ht="13.5">
      <c r="A42" t="s">
        <v>401</v>
      </c>
    </row>
  </sheetData>
  <printOptions gridLines="1" headings="1"/>
  <pageMargins left="1" right="0.75" top="1" bottom="1" header="0.5" footer="0.5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Chicago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 Myerson</dc:creator>
  <cp:keywords/>
  <dc:description/>
  <cp:lastModifiedBy>Roger Myerson</cp:lastModifiedBy>
  <cp:lastPrinted>2008-12-04T19:11:37Z</cp:lastPrinted>
  <dcterms:created xsi:type="dcterms:W3CDTF">2005-07-18T02:14:07Z</dcterms:created>
  <dcterms:modified xsi:type="dcterms:W3CDTF">2008-12-04T19:36:19Z</dcterms:modified>
  <cp:category/>
  <cp:version/>
  <cp:contentType/>
  <cp:contentStatus/>
</cp:coreProperties>
</file>