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10" windowHeight="5820" activeTab="0"/>
  </bookViews>
  <sheets>
    <sheet name="Fig1" sheetId="1" r:id="rId1"/>
    <sheet name="Figs2and3" sheetId="2" r:id="rId2"/>
    <sheet name="Fig4" sheetId="3" r:id="rId3"/>
    <sheet name="Fig5" sheetId="4" r:id="rId4"/>
    <sheet name="Fig6" sheetId="5" r:id="rId5"/>
    <sheet name="Fig7" sheetId="6" r:id="rId6"/>
    <sheet name="Fig8" sheetId="7" r:id="rId7"/>
    <sheet name="SpecialCases" sheetId="8" r:id="rId8"/>
    <sheet name="WithoutSimtools" sheetId="9" r:id="rId9"/>
  </sheets>
  <externalReferences>
    <externalReference r:id="rId12"/>
  </externalReferences>
  <definedNames>
    <definedName name="FixAmt" localSheetId="2">'Fig4'!$B$4:$B$107,'Fig4'!$F$2:$H$15,'Fig4'!$F$17:$F$525</definedName>
    <definedName name="FixFrac" localSheetId="2">'Fig4'!$C$4:$C$107,'Fig4'!$G$17:$H$525,'Fig4'!$I$2:$L$15</definedName>
    <definedName name="SimTable" localSheetId="2">'Fig4'!$E$24:$G$525</definedName>
    <definedName name="SimTable" localSheetId="5">'Fig7'!$A$19:$B$420</definedName>
    <definedName name="SimTable">'Fig6'!$A$27:$B$828</definedName>
    <definedName name="solver_lin" localSheetId="5" hidden="1">0</definedName>
    <definedName name="solver_num" localSheetId="5" hidden="1">0</definedName>
    <definedName name="solver_opt" localSheetId="5" hidden="1">'Fig7'!$D$14</definedName>
    <definedName name="solver_typ" localSheetId="5" hidden="1">1</definedName>
    <definedName name="solver_val" localSheetId="5" hidden="1">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<sst xmlns="http://schemas.openxmlformats.org/spreadsheetml/2006/main" count="381" uniqueCount="345">
  <si>
    <t>Mean</t>
  </si>
  <si>
    <t>Stdev</t>
  </si>
  <si>
    <t>Normal random variable</t>
  </si>
  <si>
    <t>P(F1 &lt; D2 &lt; G1)</t>
  </si>
  <si>
    <t>NORMAL DISTRIBUTION</t>
  </si>
  <si>
    <t>FORMULAS</t>
  </si>
  <si>
    <t>CumvProby</t>
  </si>
  <si>
    <t>Value</t>
  </si>
  <si>
    <t>ProbyDensity</t>
  </si>
  <si>
    <t>D2.  =NORMINV(RAND(),A2,B2)</t>
  </si>
  <si>
    <t>F3.  =NORMSDIST((G1-A2)/B2)-NORMSDIST((F1-A2)/B2)</t>
  </si>
  <si>
    <t>B6.  =NORMINV(A6,$A$2,$B$2)</t>
  </si>
  <si>
    <t xml:space="preserve"> B6 copied to B6:B106</t>
  </si>
  <si>
    <t>C7.  =(A8-A6)/(B8-B6)</t>
  </si>
  <si>
    <t xml:space="preserve"> C7 copied to C7:C105</t>
  </si>
  <si>
    <t>A6 contains 0.001</t>
  </si>
  <si>
    <t>A7:A105 is filled by a series from .01 to .99, step .01</t>
  </si>
  <si>
    <t>A106 contains 0.999</t>
  </si>
  <si>
    <t xml:space="preserve">  Inverse Cumulative Chart plots (A6:A106,B6:B106)</t>
  </si>
  <si>
    <t xml:space="preserve">  Probability Density Chart plots (B7:B105,C7:C105)</t>
  </si>
  <si>
    <t xml:space="preserve"> Cumulative Chart plots (B7:B105,A7:A105)</t>
  </si>
  <si>
    <t>THE EXP FUNCTION FROM COMPOUND INTEREST:</t>
  </si>
  <si>
    <t>Suppose we start with $1 in a bank account.</t>
  </si>
  <si>
    <t>Nominal interest rate</t>
  </si>
  <si>
    <t>Times compounded/year</t>
  </si>
  <si>
    <t>(try 1,2,4,12,365)</t>
  </si>
  <si>
    <t>$Value at end of year</t>
  </si>
  <si>
    <t>The number e:</t>
  </si>
  <si>
    <t>e^r</t>
  </si>
  <si>
    <t>EXPonential formula</t>
  </si>
  <si>
    <t>LN, the inverse of EXP</t>
  </si>
  <si>
    <t>So EXP(r) is the actual yield, per $1 initial investment, after a year</t>
  </si>
  <si>
    <t>when nominal interest rate r is compounded continuously.</t>
  </si>
  <si>
    <t>LN(x) is the nominal interest rate that would yield $x after a year,</t>
  </si>
  <si>
    <t>per $1 initial investment, with continuous compounding.</t>
  </si>
  <si>
    <t>AN EXAMPLE TO SHOW THE ADVANTAGE OF LOGARITHMIC GROWTH RATES</t>
  </si>
  <si>
    <t>Values:</t>
  </si>
  <si>
    <t>Growth rates:</t>
  </si>
  <si>
    <t>Year 0</t>
  </si>
  <si>
    <t>Percent</t>
  </si>
  <si>
    <t>Logarithmic</t>
  </si>
  <si>
    <t>Year 1</t>
  </si>
  <si>
    <t>Year 2</t>
  </si>
  <si>
    <t>Average growth rate:</t>
  </si>
  <si>
    <t>FORMULAS FROM RANGE A1:D19</t>
  </si>
  <si>
    <t>OTHER FACTS</t>
  </si>
  <si>
    <t>r (random)</t>
  </si>
  <si>
    <t>s (random)</t>
  </si>
  <si>
    <t>B5.  =(1+B3/B4)^B4</t>
  </si>
  <si>
    <t>D6.  =EXP(1)</t>
  </si>
  <si>
    <t>EXP(r1+r2) = EXP(r1)*EXP(r2)</t>
  </si>
  <si>
    <t>B6.  =EXP(B3)</t>
  </si>
  <si>
    <t>E6.  =D6^B3</t>
  </si>
  <si>
    <t>LN(x1*x2) = LN(x1)+LN(x2)</t>
  </si>
  <si>
    <t>x = EXP(r)</t>
  </si>
  <si>
    <t>y = EXP(s)</t>
  </si>
  <si>
    <t>EXP(r)*EXP(s)</t>
  </si>
  <si>
    <t>EXP(r+s)</t>
  </si>
  <si>
    <t>B7.  =LN(B6)</t>
  </si>
  <si>
    <t>C17.  =(B17-B16)/B16</t>
  </si>
  <si>
    <t>LN(x)</t>
  </si>
  <si>
    <t>LN(y)</t>
  </si>
  <si>
    <t>LN(x)+LN(y)</t>
  </si>
  <si>
    <t>LN(x*y)</t>
  </si>
  <si>
    <t>C18.  =(B18-B17)/B17</t>
  </si>
  <si>
    <t>D17.  =LN(B17/B16)</t>
  </si>
  <si>
    <t>D18.  =LN(B18/B17)</t>
  </si>
  <si>
    <t>FORMULAS FROM RANGE H21:L26</t>
  </si>
  <si>
    <t>C19.  =AVERAGE(C17:C18)</t>
  </si>
  <si>
    <t>H22.  =NORMINV(RAND(),0,1)</t>
  </si>
  <si>
    <t>D19.  =AVERAGE(D17:D18)</t>
  </si>
  <si>
    <t>I22.  =NORMINV(RAND(),0,1)</t>
  </si>
  <si>
    <t>H24.  =EXP(H22)</t>
  </si>
  <si>
    <t>I24.  =EXP(I22)</t>
  </si>
  <si>
    <t>K24.  =H24*I24</t>
  </si>
  <si>
    <t>L24.  =EXP(H22+I22)</t>
  </si>
  <si>
    <t>H26.  =LN(H24)</t>
  </si>
  <si>
    <t>I26.  =LN(I24)</t>
  </si>
  <si>
    <t>K26.  =H26+I26</t>
  </si>
  <si>
    <t>L26.  =LN(H24*I24)</t>
  </si>
  <si>
    <t xml:space="preserve"> Left chart.  (A42:A66,B42:B66)</t>
  </si>
  <si>
    <t xml:space="preserve"> Right chart.  (B42:B66,C42:C66)</t>
  </si>
  <si>
    <t xml:space="preserve"> FORMULAS FROM RANGE A42:C66</t>
  </si>
  <si>
    <t xml:space="preserve"> B42.  =EXP(A42)</t>
  </si>
  <si>
    <t xml:space="preserve"> C42.  =LN(B42)</t>
  </si>
  <si>
    <t xml:space="preserve">  B42:C42 copied to B42:B66</t>
  </si>
  <si>
    <t>EXAMPLE: Repeated independent investments returning $2.00 or $0.25 per $1 invested.</t>
  </si>
  <si>
    <t>Fixed-amount investment strategy ($100 each period).</t>
  </si>
  <si>
    <t>Fixed-amount model</t>
  </si>
  <si>
    <t xml:space="preserve">Fixed-fraction model     </t>
  </si>
  <si>
    <t xml:space="preserve">F = 1000+X1+X2+...+X100 </t>
  </si>
  <si>
    <t>Investment strategy:</t>
  </si>
  <si>
    <t>Realizd</t>
  </si>
  <si>
    <t xml:space="preserve"> Approx distns</t>
  </si>
  <si>
    <t xml:space="preserve"> Approximating distns</t>
  </si>
  <si>
    <t xml:space="preserve"> where the Xi are independent random variables</t>
  </si>
  <si>
    <t>FixedAmount</t>
  </si>
  <si>
    <t>FixedFractn</t>
  </si>
  <si>
    <t>%Rank</t>
  </si>
  <si>
    <t>final$</t>
  </si>
  <si>
    <t>NORM</t>
  </si>
  <si>
    <t>GENL</t>
  </si>
  <si>
    <t>ExpNORM</t>
  </si>
  <si>
    <t>LNORM</t>
  </si>
  <si>
    <t xml:space="preserve"> and each Xi has P(Xi=100) = 1/2 = P(Xi=-75)</t>
  </si>
  <si>
    <t>F is approximately Normal (in a scale where 175 is small).</t>
  </si>
  <si>
    <t>Wealth</t>
  </si>
  <si>
    <t>retn</t>
  </si>
  <si>
    <t>Fixed-fraction investment strategy (10% each period).</t>
  </si>
  <si>
    <t xml:space="preserve">G = 1000*Y1*Y2*...*Y100 </t>
  </si>
  <si>
    <t xml:space="preserve"> where the Yi are independent random variables</t>
  </si>
  <si>
    <t xml:space="preserve"> and each Yi has P(Yi=1.10) = 1/2 = P(Yi=0.925)</t>
  </si>
  <si>
    <t xml:space="preserve">LN(G) = LN(1000)+LN(Y1)+LN(Y2)+...+LN(Y100) </t>
  </si>
  <si>
    <t>LN(G) is approximately Normal.</t>
  </si>
  <si>
    <t>G is approximately Lognormal.</t>
  </si>
  <si>
    <t>Simulation models from data</t>
  </si>
  <si>
    <t xml:space="preserve"> FORMULAS</t>
  </si>
  <si>
    <t xml:space="preserve"> A8.  =IF(RAND()&lt;0.5,2,0.25)</t>
  </si>
  <si>
    <t>rand</t>
  </si>
  <si>
    <t>%ile</t>
  </si>
  <si>
    <t xml:space="preserve"> B8.  =B7+$B$5*(A8-1)</t>
  </si>
  <si>
    <t>C8.  =C7*(1+$C$5*(A8-1))</t>
  </si>
  <si>
    <t>Q1</t>
  </si>
  <si>
    <t xml:space="preserve">  A8:C8 copied to A8:C107</t>
  </si>
  <si>
    <t>Q2</t>
  </si>
  <si>
    <t xml:space="preserve"> F24.  =B107</t>
  </si>
  <si>
    <t>G24.  =C107</t>
  </si>
  <si>
    <t>FixAmt</t>
  </si>
  <si>
    <t>FixFrac</t>
  </si>
  <si>
    <t>FORMULAS FROM RANGE O1:V24</t>
  </si>
  <si>
    <t>Q3</t>
  </si>
  <si>
    <t xml:space="preserve"> H25.  =LN(G25)</t>
  </si>
  <si>
    <t>H25 copied to H25:H525</t>
  </si>
  <si>
    <t>Q2-Q1</t>
  </si>
  <si>
    <t>O18.  =RAND()</t>
  </si>
  <si>
    <t>Final Wealth</t>
  </si>
  <si>
    <t xml:space="preserve"> F17.  =AVERAGE(F25:F525)</t>
  </si>
  <si>
    <t>F18.  =STDEV(F25:F525)</t>
  </si>
  <si>
    <t>Q3-Q2</t>
  </si>
  <si>
    <t>P18.  =PERCENTILE($F$25:$F$525,O18)</t>
  </si>
  <si>
    <t xml:space="preserve"> F19.  =PERCENTILE(F25:F525,0.25)</t>
  </si>
  <si>
    <t>Q2/Q1</t>
  </si>
  <si>
    <t>Q18.  =NORMINV(O18,$F$17,$F$18)</t>
  </si>
  <si>
    <t>SimTable</t>
  </si>
  <si>
    <t>LN</t>
  </si>
  <si>
    <t xml:space="preserve"> F20.  =PERCENTILE(F25:F525,0.5)</t>
  </si>
  <si>
    <t>Q3/Q2</t>
  </si>
  <si>
    <t>R18.  =GENLINV(O18,$F$19,$F$20,$F$21)</t>
  </si>
  <si>
    <t xml:space="preserve"> F21.  =PERCENTILE(F25:F525,0.75)</t>
  </si>
  <si>
    <t>S18.  =PERCENTILE($G$25:$G$525,O18)</t>
  </si>
  <si>
    <t xml:space="preserve">  F17:F21 copied to G17:G21, F17:F18 to H17:H18</t>
  </si>
  <si>
    <t>T18.  =EXP(NORMINV(O18,$H$17,$H$18))</t>
  </si>
  <si>
    <t xml:space="preserve"> F5.  =PERCENTILE($F$25:$F$525,E5)</t>
  </si>
  <si>
    <t>U18.  =LNORMINV(O18,$G$17,$G$18)</t>
  </si>
  <si>
    <t xml:space="preserve"> G5.  =NORMINV(E5,$F$17,$F$18)</t>
  </si>
  <si>
    <t>LMean</t>
  </si>
  <si>
    <t>V18.  =GENLINV(O18,$G$19,$G$20,$G$21)</t>
  </si>
  <si>
    <t xml:space="preserve"> H5.  =GENLINV(E5,$F$19,$F$20,$F$21)</t>
  </si>
  <si>
    <t>P21.  =F20-F19</t>
  </si>
  <si>
    <t xml:space="preserve"> I5.  =PERCENTILE($G$25:$G$525,E5)</t>
  </si>
  <si>
    <t xml:space="preserve"> P21 copied to P21:Q22</t>
  </si>
  <si>
    <t xml:space="preserve"> J5.  =EXP(NORMINV(E5,$H$17,$H$18))</t>
  </si>
  <si>
    <t>LStdev</t>
  </si>
  <si>
    <t>P23.  =F20/F19</t>
  </si>
  <si>
    <t xml:space="preserve"> K5.  =LNORMINV(E5,$G$17,$G$18)</t>
  </si>
  <si>
    <t xml:space="preserve"> P23 copied to P23:Q24</t>
  </si>
  <si>
    <t xml:space="preserve"> L5.  =GENLINV(E5,$G$19,$G$20,$G$21)</t>
  </si>
  <si>
    <t>Q27.  =LN(Q25)</t>
  </si>
  <si>
    <t xml:space="preserve">  F5:L5 copied to F5:L15</t>
  </si>
  <si>
    <t>P28.  =F17</t>
  </si>
  <si>
    <t>Q28.  =H17</t>
  </si>
  <si>
    <t>P30.  =P21/0.675</t>
  </si>
  <si>
    <t>Q30.  =LN(Q23)/0.675</t>
  </si>
  <si>
    <t>P31.  =F18</t>
  </si>
  <si>
    <t>Q31.  =H18</t>
  </si>
  <si>
    <t>Quartiles of Unknown Quantity</t>
  </si>
  <si>
    <t>Ratio of quartile widths</t>
  </si>
  <si>
    <t>1%-point</t>
  </si>
  <si>
    <t>25%point</t>
  </si>
  <si>
    <t>50%point</t>
  </si>
  <si>
    <t>75%point</t>
  </si>
  <si>
    <t>99%-point</t>
  </si>
  <si>
    <t>Simulated value</t>
  </si>
  <si>
    <t>GENERALIZED-LOGNORMAL DISTRIBUTION</t>
  </si>
  <si>
    <t xml:space="preserve"> Value</t>
  </si>
  <si>
    <t>A4.  =GENLINV(0.01,$B$2,$C$2,$D$2)</t>
  </si>
  <si>
    <t>E4.  =GENLINV(0.99,$B$2,$C$2,$D$2)</t>
  </si>
  <si>
    <t>G4.  =GENLINV(RAND(),$B$2,$C$2,$D$2)</t>
  </si>
  <si>
    <t>F2.  =(D2-C2)/(C2-B2)</t>
  </si>
  <si>
    <t>B8.  =GENLINV(A8,$B$2,$C$2,$D$2)</t>
  </si>
  <si>
    <t xml:space="preserve"> B8 copied to B8:B108</t>
  </si>
  <si>
    <t>C9.  =(A10-A8)/(B10-B8)</t>
  </si>
  <si>
    <t xml:space="preserve"> C9 copied to C9:C107</t>
  </si>
  <si>
    <t xml:space="preserve"> Inverse Cumulative Chart plots (A8:A108,B8:B108)</t>
  </si>
  <si>
    <t xml:space="preserve"> Probability Density Chart plots (B9:B107,C9:C107)</t>
  </si>
  <si>
    <t xml:space="preserve"> Cumulative Chart plots (B9:B107,A9:A107)</t>
  </si>
  <si>
    <t>SUPERIOR SEMICONDUCTOR CASE, Part C</t>
  </si>
  <si>
    <t>Development-cost quartile points</t>
  </si>
  <si>
    <t>P(Successful development)</t>
  </si>
  <si>
    <t>Market-value quartile pts (if successful)</t>
  </si>
  <si>
    <t>RiskTolerance</t>
  </si>
  <si>
    <t>k</t>
  </si>
  <si>
    <t>P(#competitors=k)</t>
  </si>
  <si>
    <t>FORMULAS FROM RANGE A1:F27</t>
  </si>
  <si>
    <t>A16.  =GENLINV(RAND(),A3,B3,C3)</t>
  </si>
  <si>
    <t>A17.  =IF(RAND()&lt;F3,1,0)</t>
  </si>
  <si>
    <t>A18.  =A17*GENLINV(RAND(),A6,B6,C6)</t>
  </si>
  <si>
    <t>A19.  =DISCRINV(RAND(),A9:A13,B9:B13)</t>
  </si>
  <si>
    <t>A20.  =A18/(1+A19)-A16</t>
  </si>
  <si>
    <t>B27.  =A20</t>
  </si>
  <si>
    <t>Simulation model</t>
  </si>
  <si>
    <t>B23.  =AVERAGE(B28:B828)</t>
  </si>
  <si>
    <t>Development cost</t>
  </si>
  <si>
    <t>B24.  =STDEV(B28:B828)</t>
  </si>
  <si>
    <t>Successful development?</t>
  </si>
  <si>
    <t>E24.  =COUNT(B28:B828)</t>
  </si>
  <si>
    <t>Total market value</t>
  </si>
  <si>
    <t>F24.  =B23-1.96*B24/(E24^0.5)</t>
  </si>
  <si>
    <t>Number of competitors</t>
  </si>
  <si>
    <t>G24.  =B23+1.96*B24/(E24^0.5)</t>
  </si>
  <si>
    <t>Profit</t>
  </si>
  <si>
    <t>B25.  =CE(B28:B828,F6)</t>
  </si>
  <si>
    <t>Analysis of simulation data</t>
  </si>
  <si>
    <t>E(Profit)</t>
  </si>
  <si>
    <t>SampleSize</t>
  </si>
  <si>
    <t>95%ConfInt for E(Profit)</t>
  </si>
  <si>
    <t>Stdev(Profit)</t>
  </si>
  <si>
    <t>CE(profit,RiskTol)</t>
  </si>
  <si>
    <t>Profit ($millions)</t>
  </si>
  <si>
    <t xml:space="preserve">  Simulation data in B28:B828 is sorted.</t>
  </si>
  <si>
    <t xml:space="preserve">  Cumulative risk profile plots (A28:A828,B28:B828).</t>
  </si>
  <si>
    <t>Constant risk tolerance</t>
  </si>
  <si>
    <t>Expected monetary value of a Normal lottery</t>
  </si>
  <si>
    <t>Std deviation</t>
  </si>
  <si>
    <t>FACT:</t>
  </si>
  <si>
    <t>If a lottery's net payment ($) is drawn from a Normal distribution</t>
  </si>
  <si>
    <t xml:space="preserve">and the decision-maker has constant risk tolerance, </t>
  </si>
  <si>
    <t>Certainty equiv</t>
  </si>
  <si>
    <t>then the DM's certainty equivalent of the lottery is</t>
  </si>
  <si>
    <t>P(X&lt;CE)</t>
  </si>
  <si>
    <t>CE = E($) - (0.5/RiskTol)*Stdev($)^2</t>
  </si>
  <si>
    <t>Estimates from simulation</t>
  </si>
  <si>
    <t>CE</t>
  </si>
  <si>
    <t>E($)</t>
  </si>
  <si>
    <t>EU</t>
  </si>
  <si>
    <t>CE from EU</t>
  </si>
  <si>
    <t>Stdev($)</t>
  </si>
  <si>
    <t>Stdev(U)</t>
  </si>
  <si>
    <t>DataCount</t>
  </si>
  <si>
    <t>95% confidence interval</t>
  </si>
  <si>
    <t>$Prize</t>
  </si>
  <si>
    <t>Utility</t>
  </si>
  <si>
    <t>FORMULAS FROM RANGE A1:G19</t>
  </si>
  <si>
    <t>A10.  =A5-0.5*(A7^2)/A2</t>
  </si>
  <si>
    <t>B19.  =NORMINV(RAND(),A5,A7)</t>
  </si>
  <si>
    <t>A14.  =CE(B20:B420,A2)</t>
  </si>
  <si>
    <t>B14.  =AVERAGE(B20:B420)</t>
  </si>
  <si>
    <t>B16.  =STDEV(B20:B420)</t>
  </si>
  <si>
    <t>C20.  =UTIL(B20,$A$2)</t>
  </si>
  <si>
    <t xml:space="preserve"> C20 copied to C20:C420</t>
  </si>
  <si>
    <t>C14.  =AVERAGE(C20:C420)</t>
  </si>
  <si>
    <t>D14.  =UINV(C14,A2)</t>
  </si>
  <si>
    <t>C16.  =STDEV(C20:C420)</t>
  </si>
  <si>
    <t>F16.  =COUNT(C20:C420)</t>
  </si>
  <si>
    <t>F18.  =C14-1.96*C16/F16^0.5</t>
  </si>
  <si>
    <t>G18.  =C14+1.96*C16/F16^0.5</t>
  </si>
  <si>
    <t>F19.  =UINV(F18,$A$2)</t>
  </si>
  <si>
    <t>G19.  =UINV(G18,$A$2)</t>
  </si>
  <si>
    <t>FORMULAS FROM RANGE B20:G21</t>
  </si>
  <si>
    <t>B20.  =LNORMINV(A20,$A$2,$B$2)</t>
  </si>
  <si>
    <t xml:space="preserve"> B20 copied to B20:B120</t>
  </si>
  <si>
    <t>D20.  =GAMINV(A20,$A$2,$B$2)</t>
  </si>
  <si>
    <t xml:space="preserve"> D20 copied to D20:D120</t>
  </si>
  <si>
    <t>F20.  =NORMINV(A20,$A$2,$B$2)</t>
  </si>
  <si>
    <t xml:space="preserve"> F20 copied to F20:F120</t>
  </si>
  <si>
    <t>C21.  =($A22-$A20)/(B22-B20)</t>
  </si>
  <si>
    <t xml:space="preserve"> C21 copied to C21:C119</t>
  </si>
  <si>
    <t>E21.  =($A22-$A20)/(D22-D20)</t>
  </si>
  <si>
    <t xml:space="preserve"> E21 copied to E21:E119</t>
  </si>
  <si>
    <t>G21.  =($A22-$A20)/(F22-F20)</t>
  </si>
  <si>
    <t xml:space="preserve"> G21 copied to G21:G119</t>
  </si>
  <si>
    <t>LNORMINV</t>
  </si>
  <si>
    <t>Lognormal</t>
  </si>
  <si>
    <t>GAMINV</t>
  </si>
  <si>
    <t>Gamma</t>
  </si>
  <si>
    <t>NORMINV</t>
  </si>
  <si>
    <t>Normal</t>
  </si>
  <si>
    <t>density</t>
  </si>
  <si>
    <t xml:space="preserve">   q1</t>
  </si>
  <si>
    <t xml:space="preserve">   q2</t>
  </si>
  <si>
    <t xml:space="preserve">   q3</t>
  </si>
  <si>
    <t>Given quartiles:</t>
  </si>
  <si>
    <t xml:space="preserve">If q3-q2 = q2-q1 then </t>
  </si>
  <si>
    <t>our Generalized-Lognormal random variable is</t>
  </si>
  <si>
    <t>a Normal random variable with mean q2</t>
  </si>
  <si>
    <t>and standard deviation (q3-q2)/0.675 = (q3-q1)/1.35.</t>
  </si>
  <si>
    <t xml:space="preserve">  EqualDiffs?</t>
  </si>
  <si>
    <t>(rand)</t>
  </si>
  <si>
    <t>GENLINV</t>
  </si>
  <si>
    <t>If q3/q2 = q2/q1 then</t>
  </si>
  <si>
    <t>a Lognormal random variable that can be computed</t>
  </si>
  <si>
    <t>by applying the exponential function EXP to</t>
  </si>
  <si>
    <t>a Normal random variable with mean LN(q2)</t>
  </si>
  <si>
    <t>and standard deviation (LN(q3)-LN(q1))/1.35.</t>
  </si>
  <si>
    <t xml:space="preserve">  EqualRatios?</t>
  </si>
  <si>
    <t>EXP(NORMINV)</t>
  </si>
  <si>
    <t>Log-mean</t>
  </si>
  <si>
    <t>Log-stdev</t>
  </si>
  <si>
    <t>The actual mean and standard deviation of this Lognormal random</t>
  </si>
  <si>
    <t>variable (used by LNORMINV) are more complicated to compute:</t>
  </si>
  <si>
    <t>Actual Mean</t>
  </si>
  <si>
    <t>Actual StDev</t>
  </si>
  <si>
    <t>A9.  =(D2-C2=C2-B2)</t>
  </si>
  <si>
    <t>B9.  =RAND()</t>
  </si>
  <si>
    <t>C9.  =GENLINV(B9,B2,C2,D2)</t>
  </si>
  <si>
    <t>D9.  =NORMINV(B9,C2,(D2-B2)/1.35)</t>
  </si>
  <si>
    <t>A18.  =(D2/C2=C2/B2)</t>
  </si>
  <si>
    <t>B18.  =B9</t>
  </si>
  <si>
    <t>C18.  =GENLINV(B18,B2,C2,D2)</t>
  </si>
  <si>
    <t>D18.  =EXP(NORMINV(B18,E19,E20))</t>
  </si>
  <si>
    <t>E19.  =LN(C2)</t>
  </si>
  <si>
    <t>E20.  =(LN(D2)-LN(B2))/1.35</t>
  </si>
  <si>
    <t>E23.  =EXP(E19+0.5*E20^2)</t>
  </si>
  <si>
    <t>E24.  =E23*((EXP(E20^2)-1)^0.5)</t>
  </si>
  <si>
    <t>E25.  =LNORMINV(B18,E23,E24)</t>
  </si>
  <si>
    <t>RAND(), or cumulative probability</t>
  </si>
  <si>
    <t xml:space="preserve">  q1</t>
  </si>
  <si>
    <t xml:space="preserve">  q2</t>
  </si>
  <si>
    <t xml:space="preserve">  q3</t>
  </si>
  <si>
    <t>lowest</t>
  </si>
  <si>
    <t>highest</t>
  </si>
  <si>
    <t>COMPUTING GENLINV WITHOUT SIMTOOLS:</t>
  </si>
  <si>
    <t>Normal with quartiles -1, 0, 1</t>
  </si>
  <si>
    <t>(q3-q2)/(q2-q1)</t>
  </si>
  <si>
    <t>With optional parameters:</t>
  </si>
  <si>
    <t>GENLINV without Simtools</t>
  </si>
  <si>
    <t>GENLINV with Simtools</t>
  </si>
  <si>
    <t>FORMULAS FROM RANGE A1:D8</t>
  </si>
  <si>
    <t>A2.  =RAND()</t>
  </si>
  <si>
    <t>B5.  =NORMINV(A2,0,1/0.67449)</t>
  </si>
  <si>
    <t>B6.  =(D2-C2)/(C2-B2)</t>
  </si>
  <si>
    <t>B7.  =IF(B6=1,C2+(D2-C2)*B5,C2+(D2-C2)*(B6^B5-1)/(B6-1))</t>
  </si>
  <si>
    <t>B8.  =GENLINV(A2,B2,C2,D2)</t>
  </si>
  <si>
    <t>G7.  =MAX(F2,MIN(G2,B7))</t>
  </si>
  <si>
    <t>G8.  =GENLINV(A2,B2,C2,D2,F2,G2)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</si>
</sst>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+&quot;&quot;$&quot;#,##0.00;&quot;-&quot;&quot;$&quot;#,##0.00;&quot;$&quot;0.00"/>
    <numFmt numFmtId="166" formatCode="&quot;+&quot;&quot;$&quot;#,##0;&quot;-&quot;&quot;$&quot;#,##0;&quot;$&quot;0"/>
    <numFmt numFmtId="167" formatCode=".000"/>
    <numFmt numFmtId="168" formatCode="0.0"/>
    <numFmt numFmtId="169" formatCode=".0"/>
    <numFmt numFmtId="170" formatCode="0.0%"/>
    <numFmt numFmtId="171" formatCode="0.0000"/>
    <numFmt numFmtId="172" formatCode=".00"/>
    <numFmt numFmtId="173" formatCode="0.000_)"/>
    <numFmt numFmtId="174" formatCode="0.00_)"/>
  </numFmts>
  <fonts count="15">
    <font>
      <b/>
      <sz val="10"/>
      <name val="Courier New"/>
      <family val="3"/>
    </font>
    <font>
      <i/>
      <sz val="10"/>
      <name val="Courier New"/>
      <family val="0"/>
    </font>
    <font>
      <b/>
      <i/>
      <sz val="10"/>
      <name val="Courier New"/>
      <family val="0"/>
    </font>
    <font>
      <sz val="10"/>
      <name val="Courier New"/>
      <family val="0"/>
    </font>
    <font>
      <sz val="8"/>
      <name val="Courier New"/>
      <family val="0"/>
    </font>
    <font>
      <b/>
      <sz val="9"/>
      <name val="Courier New"/>
      <family val="3"/>
    </font>
    <font>
      <i/>
      <sz val="9"/>
      <name val="Courier New"/>
      <family val="3"/>
    </font>
    <font>
      <sz val="10"/>
      <name val="Times New Roman"/>
      <family val="1"/>
    </font>
    <font>
      <b/>
      <sz val="10"/>
      <color indexed="10"/>
      <name val="Courier New"/>
      <family val="3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Courier New"/>
      <family val="0"/>
    </font>
    <font>
      <sz val="9.25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1" xfId="0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Alignment="1" quotePrefix="1">
      <alignment horizontal="righ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9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quotePrefix="1">
      <alignment horizontal="lef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 quotePrefix="1">
      <alignment horizontal="left"/>
    </xf>
    <xf numFmtId="1" fontId="5" fillId="0" borderId="0" xfId="0" applyNumberFormat="1" applyFont="1" applyAlignment="1">
      <alignment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14" fillId="0" borderId="0" xfId="0" applyFont="1" applyAlignment="1" quotePrefix="1">
      <alignment horizontal="right"/>
    </xf>
    <xf numFmtId="0" fontId="14" fillId="0" borderId="0" xfId="0" applyFont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Inverse Cumulative Distribution</a:t>
            </a:r>
          </a:p>
        </c:rich>
      </c:tx>
      <c:layout>
        <c:manualLayout>
          <c:xMode val="factor"/>
          <c:yMode val="factor"/>
          <c:x val="0.031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24"/>
          <c:w val="0.86275"/>
          <c:h val="0.806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Fig1!$A$6:$A$106</c:f>
              <c:numCache>
                <c:ptCount val="101"/>
                <c:pt idx="0">
                  <c:v>0.001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0.999</c:v>
                </c:pt>
              </c:numCache>
            </c:numRef>
          </c:xVal>
          <c:yVal>
            <c:numRef>
              <c:f>Fig1!$B$6:$B$106</c:f>
              <c:numCache>
                <c:ptCount val="101"/>
                <c:pt idx="0">
                  <c:v>12.093898769468069</c:v>
                </c:pt>
                <c:pt idx="1">
                  <c:v>15.5314613240771</c:v>
                </c:pt>
                <c:pt idx="2">
                  <c:v>16.75813320814632</c:v>
                </c:pt>
                <c:pt idx="3">
                  <c:v>17.53644694160903</c:v>
                </c:pt>
                <c:pt idx="4">
                  <c:v>18.121911418507807</c:v>
                </c:pt>
                <c:pt idx="5">
                  <c:v>18.598161497880938</c:v>
                </c:pt>
                <c:pt idx="6">
                  <c:v>19.003525560197886</c:v>
                </c:pt>
                <c:pt idx="7">
                  <c:v>19.35893789975671</c:v>
                </c:pt>
                <c:pt idx="8">
                  <c:v>19.677167822170304</c:v>
                </c:pt>
                <c:pt idx="9">
                  <c:v>19.96660541606252</c:v>
                </c:pt>
                <c:pt idx="10">
                  <c:v>20.23302142531611</c:v>
                </c:pt>
                <c:pt idx="11">
                  <c:v>20.480621126058395</c:v>
                </c:pt>
                <c:pt idx="12">
                  <c:v>20.71255591743102</c:v>
                </c:pt>
                <c:pt idx="13">
                  <c:v>20.931240507867187</c:v>
                </c:pt>
                <c:pt idx="14">
                  <c:v>21.138557551399572</c:v>
                </c:pt>
                <c:pt idx="15">
                  <c:v>21.33605205215281</c:v>
                </c:pt>
                <c:pt idx="16">
                  <c:v>21.524941596158897</c:v>
                </c:pt>
                <c:pt idx="17">
                  <c:v>21.706259596772725</c:v>
                </c:pt>
                <c:pt idx="18">
                  <c:v>21.880855294672074</c:v>
                </c:pt>
                <c:pt idx="19">
                  <c:v>22.04946538056538</c:v>
                </c:pt>
                <c:pt idx="20">
                  <c:v>22.21270376337634</c:v>
                </c:pt>
                <c:pt idx="21">
                  <c:v>22.37110249750549</c:v>
                </c:pt>
                <c:pt idx="22">
                  <c:v>22.525132246461</c:v>
                </c:pt>
                <c:pt idx="23">
                  <c:v>22.67519205104327</c:v>
                </c:pt>
                <c:pt idx="24">
                  <c:v>22.821640024791122</c:v>
                </c:pt>
                <c:pt idx="25">
                  <c:v>22.964793353981804</c:v>
                </c:pt>
                <c:pt idx="26">
                  <c:v>23.104948761261767</c:v>
                </c:pt>
                <c:pt idx="27">
                  <c:v>23.242341578385094</c:v>
                </c:pt>
                <c:pt idx="28">
                  <c:v>23.377217368921265</c:v>
                </c:pt>
                <c:pt idx="29">
                  <c:v>23.509770537362783</c:v>
                </c:pt>
                <c:pt idx="30">
                  <c:v>23.640195488202153</c:v>
                </c:pt>
                <c:pt idx="31">
                  <c:v>23.768676394116483</c:v>
                </c:pt>
                <c:pt idx="32">
                  <c:v>23.895356500521302</c:v>
                </c:pt>
                <c:pt idx="33">
                  <c:v>24.020389284647536</c:v>
                </c:pt>
                <c:pt idx="34">
                  <c:v>24.143917991910712</c:v>
                </c:pt>
                <c:pt idx="35">
                  <c:v>24.266055172280176</c:v>
                </c:pt>
                <c:pt idx="36">
                  <c:v>24.38693383935606</c:v>
                </c:pt>
                <c:pt idx="37">
                  <c:v>24.506656311292318</c:v>
                </c:pt>
                <c:pt idx="38">
                  <c:v>24.62533513805829</c:v>
                </c:pt>
                <c:pt idx="39">
                  <c:v>24.743062405992532</c:v>
                </c:pt>
                <c:pt idx="40">
                  <c:v>24.859940433248994</c:v>
                </c:pt>
                <c:pt idx="41">
                  <c:v>24.976045958443137</c:v>
                </c:pt>
                <c:pt idx="42">
                  <c:v>25.091476183821214</c:v>
                </c:pt>
                <c:pt idx="43">
                  <c:v>25.206318079814082</c:v>
                </c:pt>
                <c:pt idx="44">
                  <c:v>25.320638153221807</c:v>
                </c:pt>
                <c:pt idx="45">
                  <c:v>25.434523374475248</c:v>
                </c:pt>
                <c:pt idx="46">
                  <c:v>25.548050482189865</c:v>
                </c:pt>
                <c:pt idx="47">
                  <c:v>25.661285983165726</c:v>
                </c:pt>
                <c:pt idx="48">
                  <c:v>25.774306616018293</c:v>
                </c:pt>
                <c:pt idx="49">
                  <c:v>25.88718911936303</c:v>
                </c:pt>
                <c:pt idx="50">
                  <c:v>26</c:v>
                </c:pt>
                <c:pt idx="51">
                  <c:v>26.11281088063697</c:v>
                </c:pt>
                <c:pt idx="52">
                  <c:v>26.225693383981707</c:v>
                </c:pt>
                <c:pt idx="53">
                  <c:v>26.338714016834274</c:v>
                </c:pt>
                <c:pt idx="54">
                  <c:v>26.451949517810135</c:v>
                </c:pt>
                <c:pt idx="55">
                  <c:v>26.565476625524752</c:v>
                </c:pt>
                <c:pt idx="56">
                  <c:v>26.679361846778193</c:v>
                </c:pt>
                <c:pt idx="57">
                  <c:v>26.793681920185918</c:v>
                </c:pt>
                <c:pt idx="58">
                  <c:v>26.908523816178786</c:v>
                </c:pt>
                <c:pt idx="59">
                  <c:v>27.023954041556863</c:v>
                </c:pt>
                <c:pt idx="60">
                  <c:v>27.140059566751006</c:v>
                </c:pt>
                <c:pt idx="61">
                  <c:v>27.256937594007468</c:v>
                </c:pt>
                <c:pt idx="62">
                  <c:v>27.37466486194171</c:v>
                </c:pt>
                <c:pt idx="63">
                  <c:v>27.493343688707682</c:v>
                </c:pt>
                <c:pt idx="64">
                  <c:v>27.61306616064394</c:v>
                </c:pt>
                <c:pt idx="65">
                  <c:v>27.733944827719824</c:v>
                </c:pt>
                <c:pt idx="66">
                  <c:v>27.856082008089288</c:v>
                </c:pt>
                <c:pt idx="67">
                  <c:v>27.979610715352464</c:v>
                </c:pt>
                <c:pt idx="68">
                  <c:v>28.104643499478698</c:v>
                </c:pt>
                <c:pt idx="69">
                  <c:v>28.231323605883517</c:v>
                </c:pt>
                <c:pt idx="70">
                  <c:v>28.359804511797847</c:v>
                </c:pt>
                <c:pt idx="71">
                  <c:v>28.490229462637217</c:v>
                </c:pt>
                <c:pt idx="72">
                  <c:v>28.622782631078735</c:v>
                </c:pt>
                <c:pt idx="73">
                  <c:v>28.757658421614906</c:v>
                </c:pt>
                <c:pt idx="74">
                  <c:v>28.895051238738233</c:v>
                </c:pt>
                <c:pt idx="75">
                  <c:v>29.035206646018196</c:v>
                </c:pt>
                <c:pt idx="76">
                  <c:v>29.178359975208878</c:v>
                </c:pt>
                <c:pt idx="77">
                  <c:v>29.32480794895673</c:v>
                </c:pt>
                <c:pt idx="78">
                  <c:v>29.474867753539</c:v>
                </c:pt>
                <c:pt idx="79">
                  <c:v>29.62889750249451</c:v>
                </c:pt>
                <c:pt idx="80">
                  <c:v>29.78729623662366</c:v>
                </c:pt>
                <c:pt idx="81">
                  <c:v>29.95053461943462</c:v>
                </c:pt>
                <c:pt idx="82">
                  <c:v>30.119144705327926</c:v>
                </c:pt>
                <c:pt idx="83">
                  <c:v>30.293740403227275</c:v>
                </c:pt>
                <c:pt idx="84">
                  <c:v>30.475058403841103</c:v>
                </c:pt>
                <c:pt idx="85">
                  <c:v>30.66394794784719</c:v>
                </c:pt>
                <c:pt idx="86">
                  <c:v>30.861442448600428</c:v>
                </c:pt>
                <c:pt idx="87">
                  <c:v>31.068759492132813</c:v>
                </c:pt>
                <c:pt idx="88">
                  <c:v>31.28744408256898</c:v>
                </c:pt>
                <c:pt idx="89">
                  <c:v>31.519378873941605</c:v>
                </c:pt>
                <c:pt idx="90">
                  <c:v>31.76697857468389</c:v>
                </c:pt>
                <c:pt idx="91">
                  <c:v>32.03339458393748</c:v>
                </c:pt>
                <c:pt idx="92">
                  <c:v>32.322832177829696</c:v>
                </c:pt>
                <c:pt idx="93">
                  <c:v>32.64106210024329</c:v>
                </c:pt>
                <c:pt idx="94">
                  <c:v>32.996474439802114</c:v>
                </c:pt>
                <c:pt idx="95">
                  <c:v>33.40183850211906</c:v>
                </c:pt>
                <c:pt idx="96">
                  <c:v>33.87808858149219</c:v>
                </c:pt>
                <c:pt idx="97">
                  <c:v>34.46355305839097</c:v>
                </c:pt>
                <c:pt idx="98">
                  <c:v>35.24186679185368</c:v>
                </c:pt>
                <c:pt idx="99">
                  <c:v>36.4685386759229</c:v>
                </c:pt>
                <c:pt idx="100">
                  <c:v>39.90610123053193</c:v>
                </c:pt>
              </c:numCache>
            </c:numRef>
          </c:yVal>
          <c:smooth val="1"/>
        </c:ser>
        <c:axId val="6928486"/>
        <c:axId val="62356375"/>
      </c:scatterChart>
      <c:valAx>
        <c:axId val="692848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.0" sourceLinked="0"/>
        <c:majorTickMark val="in"/>
        <c:minorTickMark val="none"/>
        <c:tickLblPos val="nextTo"/>
        <c:crossAx val="62356375"/>
        <c:crosses val="autoZero"/>
        <c:crossBetween val="midCat"/>
        <c:dispUnits/>
        <c:majorUnit val="0.1"/>
      </c:valAx>
      <c:valAx>
        <c:axId val="62356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9284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Probability Density Function</a:t>
            </a:r>
          </a:p>
        </c:rich>
      </c:tx>
      <c:layout>
        <c:manualLayout>
          <c:xMode val="factor"/>
          <c:yMode val="factor"/>
          <c:x val="0.002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85"/>
          <c:w val="0.89325"/>
          <c:h val="0.75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Fig5!$B$9:$B$107</c:f>
              <c:numCache>
                <c:ptCount val="99"/>
                <c:pt idx="0">
                  <c:v>1740.82062481793</c:v>
                </c:pt>
                <c:pt idx="1">
                  <c:v>1744.544245074435</c:v>
                </c:pt>
                <c:pt idx="2">
                  <c:v>1746.7385417053797</c:v>
                </c:pt>
                <c:pt idx="3">
                  <c:v>1748.3083383427877</c:v>
                </c:pt>
                <c:pt idx="4">
                  <c:v>1749.5363922385054</c:v>
                </c:pt>
                <c:pt idx="5">
                  <c:v>1750.5483150415118</c:v>
                </c:pt>
                <c:pt idx="6">
                  <c:v>1751.4110639226776</c:v>
                </c:pt>
                <c:pt idx="7">
                  <c:v>1752.1646587737364</c:v>
                </c:pt>
                <c:pt idx="8">
                  <c:v>1752.8349256954632</c:v>
                </c:pt>
                <c:pt idx="9">
                  <c:v>1753.4394013998342</c:v>
                </c:pt>
                <c:pt idx="10">
                  <c:v>1753.9906673127377</c:v>
                </c:pt>
                <c:pt idx="11">
                  <c:v>1754.4980335154303</c:v>
                </c:pt>
                <c:pt idx="12">
                  <c:v>1754.9685537990226</c:v>
                </c:pt>
                <c:pt idx="13">
                  <c:v>1755.4076855237356</c:v>
                </c:pt>
                <c:pt idx="14">
                  <c:v>1755.8198317213314</c:v>
                </c:pt>
                <c:pt idx="15">
                  <c:v>1756.2084618254682</c:v>
                </c:pt>
                <c:pt idx="16">
                  <c:v>1756.5764706339821</c:v>
                </c:pt>
                <c:pt idx="17">
                  <c:v>1756.9262293756367</c:v>
                </c:pt>
                <c:pt idx="18">
                  <c:v>1757.2597633843932</c:v>
                </c:pt>
                <c:pt idx="19">
                  <c:v>1757.578755642815</c:v>
                </c:pt>
                <c:pt idx="20">
                  <c:v>1757.8846527388991</c:v>
                </c:pt>
                <c:pt idx="21">
                  <c:v>1758.1787149852587</c:v>
                </c:pt>
                <c:pt idx="22">
                  <c:v>1758.462014205387</c:v>
                </c:pt>
                <c:pt idx="23">
                  <c:v>1758.7354976293243</c:v>
                </c:pt>
                <c:pt idx="24">
                  <c:v>1758.9999967494077</c:v>
                </c:pt>
                <c:pt idx="25">
                  <c:v>1759.2562744977777</c:v>
                </c:pt>
                <c:pt idx="26">
                  <c:v>1759.504950749777</c:v>
                </c:pt>
                <c:pt idx="27">
                  <c:v>1759.7466398357408</c:v>
                </c:pt>
                <c:pt idx="28">
                  <c:v>1759.9818434503159</c:v>
                </c:pt>
                <c:pt idx="29">
                  <c:v>1760.211044246363</c:v>
                </c:pt>
                <c:pt idx="30">
                  <c:v>1760.434689966911</c:v>
                </c:pt>
                <c:pt idx="31">
                  <c:v>1760.653142715705</c:v>
                </c:pt>
                <c:pt idx="32">
                  <c:v>1760.866768504487</c:v>
                </c:pt>
                <c:pt idx="33">
                  <c:v>1761.075905109713</c:v>
                </c:pt>
                <c:pt idx="34">
                  <c:v>1761.280826807094</c:v>
                </c:pt>
                <c:pt idx="35">
                  <c:v>1761.4818334520992</c:v>
                </c:pt>
                <c:pt idx="36">
                  <c:v>1761.6791643004465</c:v>
                </c:pt>
                <c:pt idx="37">
                  <c:v>1761.8730683159151</c:v>
                </c:pt>
                <c:pt idx="38">
                  <c:v>1762.063753254469</c:v>
                </c:pt>
                <c:pt idx="39">
                  <c:v>1762.2514371482866</c:v>
                </c:pt>
                <c:pt idx="40">
                  <c:v>1762.4362906153917</c:v>
                </c:pt>
                <c:pt idx="41">
                  <c:v>1762.6185113349802</c:v>
                </c:pt>
                <c:pt idx="42">
                  <c:v>1762.798275211536</c:v>
                </c:pt>
                <c:pt idx="43">
                  <c:v>1762.975721290939</c:v>
                </c:pt>
                <c:pt idx="44">
                  <c:v>1763.151015632426</c:v>
                </c:pt>
                <c:pt idx="45">
                  <c:v>1763.3243040754294</c:v>
                </c:pt>
                <c:pt idx="46">
                  <c:v>1763.4957127043926</c:v>
                </c:pt>
                <c:pt idx="47">
                  <c:v>1763.6653790286919</c:v>
                </c:pt>
                <c:pt idx="48">
                  <c:v>1763.8334366319189</c:v>
                </c:pt>
                <c:pt idx="49">
                  <c:v>1764</c:v>
                </c:pt>
                <c:pt idx="50">
                  <c:v>1764.1651876575331</c:v>
                </c:pt>
                <c:pt idx="51">
                  <c:v>1764.3291145402795</c:v>
                </c:pt>
                <c:pt idx="52">
                  <c:v>1764.4918847352033</c:v>
                </c:pt>
                <c:pt idx="53">
                  <c:v>1764.6536137195592</c:v>
                </c:pt>
                <c:pt idx="54">
                  <c:v>1764.8144131672477</c:v>
                </c:pt>
                <c:pt idx="55">
                  <c:v>1764.974377029728</c:v>
                </c:pt>
                <c:pt idx="56">
                  <c:v>1765.1336104062418</c:v>
                </c:pt>
                <c:pt idx="57">
                  <c:v>1765.2922287049173</c:v>
                </c:pt>
                <c:pt idx="58">
                  <c:v>1765.4503157721865</c:v>
                </c:pt>
                <c:pt idx="59">
                  <c:v>1765.6079801428857</c:v>
                </c:pt>
                <c:pt idx="60">
                  <c:v>1765.7653400585605</c:v>
                </c:pt>
                <c:pt idx="61">
                  <c:v>1765.922482273311</c:v>
                </c:pt>
                <c:pt idx="62">
                  <c:v>1766.0795240332184</c:v>
                </c:pt>
                <c:pt idx="63">
                  <c:v>1766.2365644728036</c:v>
                </c:pt>
                <c:pt idx="64">
                  <c:v>1766.3937255015542</c:v>
                </c:pt>
                <c:pt idx="65">
                  <c:v>1766.551110459552</c:v>
                </c:pt>
                <c:pt idx="66">
                  <c:v>1766.7088576201863</c:v>
                </c:pt>
                <c:pt idx="67">
                  <c:v>1766.8670730900847</c:v>
                </c:pt>
                <c:pt idx="68">
                  <c:v>1767.0258970157697</c:v>
                </c:pt>
                <c:pt idx="69">
                  <c:v>1767.185474662147</c:v>
                </c:pt>
                <c:pt idx="70">
                  <c:v>1767.3459325501854</c:v>
                </c:pt>
                <c:pt idx="71">
                  <c:v>1767.5074399422704</c:v>
                </c:pt>
                <c:pt idx="72">
                  <c:v>1767.6701696358898</c:v>
                </c:pt>
                <c:pt idx="73">
                  <c:v>1767.834285630111</c:v>
                </c:pt>
                <c:pt idx="74">
                  <c:v>1768.0000021280625</c:v>
                </c:pt>
                <c:pt idx="75">
                  <c:v>1768.1675093052077</c:v>
                </c:pt>
                <c:pt idx="76">
                  <c:v>1768.3370576761477</c:v>
                </c:pt>
                <c:pt idx="77">
                  <c:v>1768.5089042544876</c:v>
                </c:pt>
                <c:pt idx="78">
                  <c:v>1768.6833360363269</c:v>
                </c:pt>
                <c:pt idx="79">
                  <c:v>1768.86066769861</c:v>
                </c:pt>
                <c:pt idx="80">
                  <c:v>1769.041269315425</c:v>
                </c:pt>
                <c:pt idx="81">
                  <c:v>1769.2255526817237</c:v>
                </c:pt>
                <c:pt idx="82">
                  <c:v>1769.4139854770078</c:v>
                </c:pt>
                <c:pt idx="83">
                  <c:v>1769.6071299514274</c:v>
                </c:pt>
                <c:pt idx="84">
                  <c:v>1769.8056207041138</c:v>
                </c:pt>
                <c:pt idx="85">
                  <c:v>1770.0102267252983</c:v>
                </c:pt>
                <c:pt idx="86">
                  <c:v>1770.2218370424405</c:v>
                </c:pt>
                <c:pt idx="87">
                  <c:v>1770.4415819006185</c:v>
                </c:pt>
                <c:pt idx="88">
                  <c:v>1770.6708133703366</c:v>
                </c:pt>
                <c:pt idx="89">
                  <c:v>1770.911251285259</c:v>
                </c:pt>
                <c:pt idx="90">
                  <c:v>1771.1651197965073</c:v>
                </c:pt>
                <c:pt idx="91">
                  <c:v>1771.4353476561828</c:v>
                </c:pt>
                <c:pt idx="92">
                  <c:v>1771.725895891362</c:v>
                </c:pt>
                <c:pt idx="93">
                  <c:v>1772.042456036278</c:v>
                </c:pt>
                <c:pt idx="94">
                  <c:v>1772.393554281022</c:v>
                </c:pt>
                <c:pt idx="95">
                  <c:v>1772.7929008288352</c:v>
                </c:pt>
                <c:pt idx="96">
                  <c:v>1773.2650473498702</c:v>
                </c:pt>
                <c:pt idx="97">
                  <c:v>1773.8620622183496</c:v>
                </c:pt>
                <c:pt idx="98">
                  <c:v>1774.7363183584737</c:v>
                </c:pt>
              </c:numCache>
            </c:numRef>
          </c:xVal>
          <c:yVal>
            <c:numRef>
              <c:f>Fig5!$C$9:$C$107</c:f>
              <c:numCache>
                <c:ptCount val="99"/>
                <c:pt idx="0">
                  <c:v>0.0011772791571778448</c:v>
                </c:pt>
                <c:pt idx="1">
                  <c:v>0.003379567570881956</c:v>
                </c:pt>
                <c:pt idx="2">
                  <c:v>0.005313364620412893</c:v>
                </c:pt>
                <c:pt idx="3">
                  <c:v>0.00714834468932704</c:v>
                </c:pt>
                <c:pt idx="4">
                  <c:v>0.008928664307709826</c:v>
                </c:pt>
                <c:pt idx="5">
                  <c:v>0.010668534746035505</c:v>
                </c:pt>
                <c:pt idx="6">
                  <c:v>0.012373605688732</c:v>
                </c:pt>
                <c:pt idx="7">
                  <c:v>0.014046307290680893</c:v>
                </c:pt>
                <c:pt idx="8">
                  <c:v>0.01568944161004741</c:v>
                </c:pt>
                <c:pt idx="9">
                  <c:v>0.017304905959139704</c:v>
                </c:pt>
                <c:pt idx="10">
                  <c:v>0.01889230423426046</c:v>
                </c:pt>
                <c:pt idx="11">
                  <c:v>0.02045227158827247</c:v>
                </c:pt>
                <c:pt idx="12">
                  <c:v>0.021986429774678098</c:v>
                </c:pt>
                <c:pt idx="13">
                  <c:v>0.023494089856996716</c:v>
                </c:pt>
                <c:pt idx="14">
                  <c:v>0.02497576408882979</c:v>
                </c:pt>
                <c:pt idx="15">
                  <c:v>0.026432687594581283</c:v>
                </c:pt>
                <c:pt idx="16">
                  <c:v>0.027864174126158776</c:v>
                </c:pt>
                <c:pt idx="17">
                  <c:v>0.02927003101960086</c:v>
                </c:pt>
                <c:pt idx="18">
                  <c:v>0.03065010713896176</c:v>
                </c:pt>
                <c:pt idx="19">
                  <c:v>0.03200566605237152</c:v>
                </c:pt>
                <c:pt idx="20">
                  <c:v>0.033335592239527465</c:v>
                </c:pt>
                <c:pt idx="21">
                  <c:v>0.034640344326510655</c:v>
                </c:pt>
                <c:pt idx="22">
                  <c:v>0.035920659907716826</c:v>
                </c:pt>
                <c:pt idx="23">
                  <c:v>0.037175927401895854</c:v>
                </c:pt>
                <c:pt idx="24">
                  <c:v>0.03840416349404524</c:v>
                </c:pt>
                <c:pt idx="25">
                  <c:v>0.03960756818517096</c:v>
                </c:pt>
                <c:pt idx="26">
                  <c:v>0.0407859170533471</c:v>
                </c:pt>
                <c:pt idx="27">
                  <c:v>0.04193815501348667</c:v>
                </c:pt>
                <c:pt idx="28">
                  <c:v>0.04306591311914341</c:v>
                </c:pt>
                <c:pt idx="29">
                  <c:v>0.0441650741853431</c:v>
                </c:pt>
                <c:pt idx="30">
                  <c:v>0.04523879042098282</c:v>
                </c:pt>
                <c:pt idx="31">
                  <c:v>0.046287881162073725</c:v>
                </c:pt>
                <c:pt idx="32">
                  <c:v>0.04730789749388172</c:v>
                </c:pt>
                <c:pt idx="33">
                  <c:v>0.048302376438486144</c:v>
                </c:pt>
                <c:pt idx="34">
                  <c:v>0.04926977969173281</c:v>
                </c:pt>
                <c:pt idx="35">
                  <c:v>0.0502086806634093</c:v>
                </c:pt>
                <c:pt idx="36">
                  <c:v>0.051120188535673405</c:v>
                </c:pt>
                <c:pt idx="37">
                  <c:v>0.05200357366173207</c:v>
                </c:pt>
                <c:pt idx="38">
                  <c:v>0.052858476409501746</c:v>
                </c:pt>
                <c:pt idx="39">
                  <c:v>0.05368589059219095</c:v>
                </c:pt>
                <c:pt idx="40">
                  <c:v>0.054484899034035576</c:v>
                </c:pt>
                <c:pt idx="41">
                  <c:v>0.055250969828630925</c:v>
                </c:pt>
                <c:pt idx="42">
                  <c:v>0.055989480881964857</c:v>
                </c:pt>
                <c:pt idx="43">
                  <c:v>0.0566989174349398</c:v>
                </c:pt>
                <c:pt idx="44">
                  <c:v>0.05737517998554456</c:v>
                </c:pt>
                <c:pt idx="45">
                  <c:v>0.05802196080717186</c:v>
                </c:pt>
                <c:pt idx="46">
                  <c:v>0.0586381374788572</c:v>
                </c:pt>
                <c:pt idx="47">
                  <c:v>0.059219967464246966</c:v>
                </c:pt>
                <c:pt idx="48">
                  <c:v>0.05976911704551452</c:v>
                </c:pt>
                <c:pt idx="49">
                  <c:v>0.06028617383463464</c:v>
                </c:pt>
                <c:pt idx="50">
                  <c:v>0.06076911698587672</c:v>
                </c:pt>
                <c:pt idx="51">
                  <c:v>0.06121879063820121</c:v>
                </c:pt>
                <c:pt idx="52">
                  <c:v>0.0616334378545959</c:v>
                </c:pt>
                <c:pt idx="53">
                  <c:v>0.06201003698564715</c:v>
                </c:pt>
                <c:pt idx="54">
                  <c:v>0.06235127075311696</c:v>
                </c:pt>
                <c:pt idx="55">
                  <c:v>0.06265718357410362</c:v>
                </c:pt>
                <c:pt idx="56">
                  <c:v>0.06292243068433327</c:v>
                </c:pt>
                <c:pt idx="57">
                  <c:v>0.06315017726441766</c:v>
                </c:pt>
                <c:pt idx="58">
                  <c:v>0.06334096252635749</c:v>
                </c:pt>
                <c:pt idx="59">
                  <c:v>0.06348716865676406</c:v>
                </c:pt>
                <c:pt idx="60">
                  <c:v>0.06359257399290336</c:v>
                </c:pt>
                <c:pt idx="61">
                  <c:v>0.06365697047972149</c:v>
                </c:pt>
                <c:pt idx="62">
                  <c:v>0.06367759787824454</c:v>
                </c:pt>
                <c:pt idx="63">
                  <c:v>0.06365342627433387</c:v>
                </c:pt>
                <c:pt idx="64">
                  <c:v>0.06358370744685864</c:v>
                </c:pt>
                <c:pt idx="65">
                  <c:v>0.06346544454691051</c:v>
                </c:pt>
                <c:pt idx="66">
                  <c:v>0.06329862479714528</c:v>
                </c:pt>
                <c:pt idx="67">
                  <c:v>0.06308364284885873</c:v>
                </c:pt>
                <c:pt idx="68">
                  <c:v>0.06281376021623815</c:v>
                </c:pt>
                <c:pt idx="69">
                  <c:v>0.062493060455047905</c:v>
                </c:pt>
                <c:pt idx="70">
                  <c:v>0.06211849921314316</c:v>
                </c:pt>
                <c:pt idx="71">
                  <c:v>0.061683258583906386</c:v>
                </c:pt>
                <c:pt idx="72">
                  <c:v>0.061190955683497375</c:v>
                </c:pt>
                <c:pt idx="73">
                  <c:v>0.060636839834222245</c:v>
                </c:pt>
                <c:pt idx="74">
                  <c:v>0.06001974497820458</c:v>
                </c:pt>
                <c:pt idx="75">
                  <c:v>0.05933740035915188</c:v>
                </c:pt>
                <c:pt idx="76">
                  <c:v>0.058583174830751435</c:v>
                </c:pt>
                <c:pt idx="77">
                  <c:v>0.057757002169148655</c:v>
                </c:pt>
                <c:pt idx="78">
                  <c:v>0.05685639123158477</c:v>
                </c:pt>
                <c:pt idx="79">
                  <c:v>0.05587633552931393</c:v>
                </c:pt>
                <c:pt idx="80">
                  <c:v>0.054811792552652054</c:v>
                </c:pt>
                <c:pt idx="81">
                  <c:v>0.05366013621483575</c:v>
                </c:pt>
                <c:pt idx="82">
                  <c:v>0.052414023548964725</c:v>
                </c:pt>
                <c:pt idx="83">
                  <c:v>0.05106792907213738</c:v>
                </c:pt>
                <c:pt idx="84">
                  <c:v>0.04961587712038491</c:v>
                </c:pt>
                <c:pt idx="85">
                  <c:v>0.0480519339543656</c:v>
                </c:pt>
                <c:pt idx="86">
                  <c:v>0.04636550375256353</c:v>
                </c:pt>
                <c:pt idx="87">
                  <c:v>0.04454577837926807</c:v>
                </c:pt>
                <c:pt idx="88">
                  <c:v>0.04258314604711489</c:v>
                </c:pt>
                <c:pt idx="89">
                  <c:v>0.04046073233346241</c:v>
                </c:pt>
                <c:pt idx="90">
                  <c:v>0.03816092060462895</c:v>
                </c:pt>
                <c:pt idx="91">
                  <c:v>0.03566485836951388</c:v>
                </c:pt>
                <c:pt idx="92">
                  <c:v>0.03294304716541972</c:v>
                </c:pt>
                <c:pt idx="93">
                  <c:v>0.029955438753913228</c:v>
                </c:pt>
                <c:pt idx="94">
                  <c:v>0.026650861193733662</c:v>
                </c:pt>
                <c:pt idx="95">
                  <c:v>0.02294912112890762</c:v>
                </c:pt>
                <c:pt idx="96">
                  <c:v>0.018706249773089354</c:v>
                </c:pt>
                <c:pt idx="97">
                  <c:v>0.013593688642708912</c:v>
                </c:pt>
                <c:pt idx="98">
                  <c:v>0.006455990658211648</c:v>
                </c:pt>
              </c:numCache>
            </c:numRef>
          </c:yVal>
          <c:smooth val="1"/>
        </c:ser>
        <c:axId val="2533408"/>
        <c:axId val="22800673"/>
      </c:scatterChart>
      <c:val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Possible Values of Unknown 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00673"/>
        <c:crosses val="autoZero"/>
        <c:crossBetween val="midCat"/>
        <c:dispUnits/>
      </c:valAx>
      <c:valAx>
        <c:axId val="2280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Probability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.0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34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urier New"/>
          <a:ea typeface="Courier New"/>
          <a:cs typeface="Courier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Cumulative Distribution</a:t>
            </a:r>
          </a:p>
        </c:rich>
      </c:tx>
      <c:layout>
        <c:manualLayout>
          <c:xMode val="factor"/>
          <c:yMode val="factor"/>
          <c:x val="-0.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2025"/>
          <c:w val="0.8995"/>
          <c:h val="0.787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Fig5!$B$9:$B$107</c:f>
              <c:numCache>
                <c:ptCount val="99"/>
                <c:pt idx="0">
                  <c:v>1740.82062481793</c:v>
                </c:pt>
                <c:pt idx="1">
                  <c:v>1744.544245074435</c:v>
                </c:pt>
                <c:pt idx="2">
                  <c:v>1746.7385417053797</c:v>
                </c:pt>
                <c:pt idx="3">
                  <c:v>1748.3083383427877</c:v>
                </c:pt>
                <c:pt idx="4">
                  <c:v>1749.5363922385054</c:v>
                </c:pt>
                <c:pt idx="5">
                  <c:v>1750.5483150415118</c:v>
                </c:pt>
                <c:pt idx="6">
                  <c:v>1751.4110639226776</c:v>
                </c:pt>
                <c:pt idx="7">
                  <c:v>1752.1646587737364</c:v>
                </c:pt>
                <c:pt idx="8">
                  <c:v>1752.8349256954632</c:v>
                </c:pt>
                <c:pt idx="9">
                  <c:v>1753.4394013998342</c:v>
                </c:pt>
                <c:pt idx="10">
                  <c:v>1753.9906673127377</c:v>
                </c:pt>
                <c:pt idx="11">
                  <c:v>1754.4980335154303</c:v>
                </c:pt>
                <c:pt idx="12">
                  <c:v>1754.9685537990226</c:v>
                </c:pt>
                <c:pt idx="13">
                  <c:v>1755.4076855237356</c:v>
                </c:pt>
                <c:pt idx="14">
                  <c:v>1755.8198317213314</c:v>
                </c:pt>
                <c:pt idx="15">
                  <c:v>1756.2084618254682</c:v>
                </c:pt>
                <c:pt idx="16">
                  <c:v>1756.5764706339821</c:v>
                </c:pt>
                <c:pt idx="17">
                  <c:v>1756.9262293756367</c:v>
                </c:pt>
                <c:pt idx="18">
                  <c:v>1757.2597633843932</c:v>
                </c:pt>
                <c:pt idx="19">
                  <c:v>1757.578755642815</c:v>
                </c:pt>
                <c:pt idx="20">
                  <c:v>1757.8846527388991</c:v>
                </c:pt>
                <c:pt idx="21">
                  <c:v>1758.1787149852587</c:v>
                </c:pt>
                <c:pt idx="22">
                  <c:v>1758.462014205387</c:v>
                </c:pt>
                <c:pt idx="23">
                  <c:v>1758.7354976293243</c:v>
                </c:pt>
                <c:pt idx="24">
                  <c:v>1758.9999967494077</c:v>
                </c:pt>
                <c:pt idx="25">
                  <c:v>1759.2562744977777</c:v>
                </c:pt>
                <c:pt idx="26">
                  <c:v>1759.504950749777</c:v>
                </c:pt>
                <c:pt idx="27">
                  <c:v>1759.7466398357408</c:v>
                </c:pt>
                <c:pt idx="28">
                  <c:v>1759.9818434503159</c:v>
                </c:pt>
                <c:pt idx="29">
                  <c:v>1760.211044246363</c:v>
                </c:pt>
                <c:pt idx="30">
                  <c:v>1760.434689966911</c:v>
                </c:pt>
                <c:pt idx="31">
                  <c:v>1760.653142715705</c:v>
                </c:pt>
                <c:pt idx="32">
                  <c:v>1760.866768504487</c:v>
                </c:pt>
                <c:pt idx="33">
                  <c:v>1761.075905109713</c:v>
                </c:pt>
                <c:pt idx="34">
                  <c:v>1761.280826807094</c:v>
                </c:pt>
                <c:pt idx="35">
                  <c:v>1761.4818334520992</c:v>
                </c:pt>
                <c:pt idx="36">
                  <c:v>1761.6791643004465</c:v>
                </c:pt>
                <c:pt idx="37">
                  <c:v>1761.8730683159151</c:v>
                </c:pt>
                <c:pt idx="38">
                  <c:v>1762.063753254469</c:v>
                </c:pt>
                <c:pt idx="39">
                  <c:v>1762.2514371482866</c:v>
                </c:pt>
                <c:pt idx="40">
                  <c:v>1762.4362906153917</c:v>
                </c:pt>
                <c:pt idx="41">
                  <c:v>1762.6185113349802</c:v>
                </c:pt>
                <c:pt idx="42">
                  <c:v>1762.798275211536</c:v>
                </c:pt>
                <c:pt idx="43">
                  <c:v>1762.975721290939</c:v>
                </c:pt>
                <c:pt idx="44">
                  <c:v>1763.151015632426</c:v>
                </c:pt>
                <c:pt idx="45">
                  <c:v>1763.3243040754294</c:v>
                </c:pt>
                <c:pt idx="46">
                  <c:v>1763.4957127043926</c:v>
                </c:pt>
                <c:pt idx="47">
                  <c:v>1763.6653790286919</c:v>
                </c:pt>
                <c:pt idx="48">
                  <c:v>1763.8334366319189</c:v>
                </c:pt>
                <c:pt idx="49">
                  <c:v>1764</c:v>
                </c:pt>
                <c:pt idx="50">
                  <c:v>1764.1651876575331</c:v>
                </c:pt>
                <c:pt idx="51">
                  <c:v>1764.3291145402795</c:v>
                </c:pt>
                <c:pt idx="52">
                  <c:v>1764.4918847352033</c:v>
                </c:pt>
                <c:pt idx="53">
                  <c:v>1764.6536137195592</c:v>
                </c:pt>
                <c:pt idx="54">
                  <c:v>1764.8144131672477</c:v>
                </c:pt>
                <c:pt idx="55">
                  <c:v>1764.974377029728</c:v>
                </c:pt>
                <c:pt idx="56">
                  <c:v>1765.1336104062418</c:v>
                </c:pt>
                <c:pt idx="57">
                  <c:v>1765.2922287049173</c:v>
                </c:pt>
                <c:pt idx="58">
                  <c:v>1765.4503157721865</c:v>
                </c:pt>
                <c:pt idx="59">
                  <c:v>1765.6079801428857</c:v>
                </c:pt>
                <c:pt idx="60">
                  <c:v>1765.7653400585605</c:v>
                </c:pt>
                <c:pt idx="61">
                  <c:v>1765.922482273311</c:v>
                </c:pt>
                <c:pt idx="62">
                  <c:v>1766.0795240332184</c:v>
                </c:pt>
                <c:pt idx="63">
                  <c:v>1766.2365644728036</c:v>
                </c:pt>
                <c:pt idx="64">
                  <c:v>1766.3937255015542</c:v>
                </c:pt>
                <c:pt idx="65">
                  <c:v>1766.551110459552</c:v>
                </c:pt>
                <c:pt idx="66">
                  <c:v>1766.7088576201863</c:v>
                </c:pt>
                <c:pt idx="67">
                  <c:v>1766.8670730900847</c:v>
                </c:pt>
                <c:pt idx="68">
                  <c:v>1767.0258970157697</c:v>
                </c:pt>
                <c:pt idx="69">
                  <c:v>1767.185474662147</c:v>
                </c:pt>
                <c:pt idx="70">
                  <c:v>1767.3459325501854</c:v>
                </c:pt>
                <c:pt idx="71">
                  <c:v>1767.5074399422704</c:v>
                </c:pt>
                <c:pt idx="72">
                  <c:v>1767.6701696358898</c:v>
                </c:pt>
                <c:pt idx="73">
                  <c:v>1767.834285630111</c:v>
                </c:pt>
                <c:pt idx="74">
                  <c:v>1768.0000021280625</c:v>
                </c:pt>
                <c:pt idx="75">
                  <c:v>1768.1675093052077</c:v>
                </c:pt>
                <c:pt idx="76">
                  <c:v>1768.3370576761477</c:v>
                </c:pt>
                <c:pt idx="77">
                  <c:v>1768.5089042544876</c:v>
                </c:pt>
                <c:pt idx="78">
                  <c:v>1768.6833360363269</c:v>
                </c:pt>
                <c:pt idx="79">
                  <c:v>1768.86066769861</c:v>
                </c:pt>
                <c:pt idx="80">
                  <c:v>1769.041269315425</c:v>
                </c:pt>
                <c:pt idx="81">
                  <c:v>1769.2255526817237</c:v>
                </c:pt>
                <c:pt idx="82">
                  <c:v>1769.4139854770078</c:v>
                </c:pt>
                <c:pt idx="83">
                  <c:v>1769.6071299514274</c:v>
                </c:pt>
                <c:pt idx="84">
                  <c:v>1769.8056207041138</c:v>
                </c:pt>
                <c:pt idx="85">
                  <c:v>1770.0102267252983</c:v>
                </c:pt>
                <c:pt idx="86">
                  <c:v>1770.2218370424405</c:v>
                </c:pt>
                <c:pt idx="87">
                  <c:v>1770.4415819006185</c:v>
                </c:pt>
                <c:pt idx="88">
                  <c:v>1770.6708133703366</c:v>
                </c:pt>
                <c:pt idx="89">
                  <c:v>1770.911251285259</c:v>
                </c:pt>
                <c:pt idx="90">
                  <c:v>1771.1651197965073</c:v>
                </c:pt>
                <c:pt idx="91">
                  <c:v>1771.4353476561828</c:v>
                </c:pt>
                <c:pt idx="92">
                  <c:v>1771.725895891362</c:v>
                </c:pt>
                <c:pt idx="93">
                  <c:v>1772.042456036278</c:v>
                </c:pt>
                <c:pt idx="94">
                  <c:v>1772.393554281022</c:v>
                </c:pt>
                <c:pt idx="95">
                  <c:v>1772.7929008288352</c:v>
                </c:pt>
                <c:pt idx="96">
                  <c:v>1773.2650473498702</c:v>
                </c:pt>
                <c:pt idx="97">
                  <c:v>1773.8620622183496</c:v>
                </c:pt>
                <c:pt idx="98">
                  <c:v>1774.7363183584737</c:v>
                </c:pt>
              </c:numCache>
            </c:numRef>
          </c:xVal>
          <c:yVal>
            <c:numRef>
              <c:f>Fig5!$A$9:$A$107</c:f>
              <c:numCach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</c:numCache>
            </c:numRef>
          </c:yVal>
          <c:smooth val="1"/>
        </c:ser>
        <c:axId val="3879466"/>
        <c:axId val="34915195"/>
      </c:scatterChart>
      <c:valAx>
        <c:axId val="387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Possible Values of Unknown 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15195"/>
        <c:crosses val="autoZero"/>
        <c:crossBetween val="midCat"/>
        <c:dispUnits/>
      </c:valAx>
      <c:valAx>
        <c:axId val="349151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79466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urier New"/>
          <a:ea typeface="Courier New"/>
          <a:cs typeface="Courier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Cumulative Risk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7"/>
          <c:w val="0.947"/>
          <c:h val="0.846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Fig6!$A$28:$A$828</c:f>
              <c:numCache>
                <c:ptCount val="801"/>
                <c:pt idx="0">
                  <c:v>0</c:v>
                </c:pt>
                <c:pt idx="1">
                  <c:v>0.00125</c:v>
                </c:pt>
              </c:numCache>
            </c:numRef>
          </c:xVal>
          <c:yVal>
            <c:numRef>
              <c:f>Fig6!$B$28:$B$828</c:f>
              <c:numCache>
                <c:ptCount val="801"/>
                <c:pt idx="0">
                  <c:v>-37.29645538330078</c:v>
                </c:pt>
                <c:pt idx="1">
                  <c:v>-35.79631423950195</c:v>
                </c:pt>
              </c:numCache>
            </c:numRef>
          </c:yVal>
          <c:smooth val="0"/>
        </c:ser>
        <c:axId val="45801300"/>
        <c:axId val="9558517"/>
      </c:scatterChart>
      <c:valAx>
        <c:axId val="4580130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558517"/>
        <c:crosses val="autoZero"/>
        <c:crossBetween val="midCat"/>
        <c:dispUnits/>
        <c:majorUnit val="0.1"/>
      </c:valAx>
      <c:valAx>
        <c:axId val="955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Profit ($millions)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8013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Courier New"/>
          <a:ea typeface="Courier New"/>
          <a:cs typeface="Courier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6075"/>
          <c:w val="0.778"/>
          <c:h val="0.9355"/>
        </c:manualLayout>
      </c:layout>
      <c:scatterChart>
        <c:scatterStyle val="smooth"/>
        <c:varyColors val="0"/>
        <c:ser>
          <c:idx val="0"/>
          <c:order val="0"/>
          <c:tx>
            <c:v>Lognormal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Fig8!$B$21:$B$119</c:f>
              <c:numCache>
                <c:ptCount val="99"/>
                <c:pt idx="0">
                  <c:v>0.6764102845146505</c:v>
                </c:pt>
                <c:pt idx="1">
                  <c:v>0.8115169884992086</c:v>
                </c:pt>
                <c:pt idx="2">
                  <c:v>0.9109152281007434</c:v>
                </c:pt>
                <c:pt idx="3">
                  <c:v>0.9936300283214436</c:v>
                </c:pt>
                <c:pt idx="4">
                  <c:v>1.0664243569443248</c:v>
                </c:pt>
                <c:pt idx="5">
                  <c:v>1.132570272377263</c:v>
                </c:pt>
                <c:pt idx="6">
                  <c:v>1.1939323371441493</c:v>
                </c:pt>
                <c:pt idx="7">
                  <c:v>1.251690638166119</c:v>
                </c:pt>
                <c:pt idx="8">
                  <c:v>1.3066460518658314</c:v>
                </c:pt>
                <c:pt idx="9">
                  <c:v>1.3593604894101385</c:v>
                </c:pt>
                <c:pt idx="10">
                  <c:v>1.4102567207248384</c:v>
                </c:pt>
                <c:pt idx="11">
                  <c:v>1.459660135270036</c:v>
                </c:pt>
                <c:pt idx="12">
                  <c:v>1.5078253271815794</c:v>
                </c:pt>
                <c:pt idx="13">
                  <c:v>1.5549535458730679</c:v>
                </c:pt>
                <c:pt idx="14">
                  <c:v>1.6012181850530598</c:v>
                </c:pt>
                <c:pt idx="15">
                  <c:v>1.646754351391314</c:v>
                </c:pt>
                <c:pt idx="16">
                  <c:v>1.691682919278686</c:v>
                </c:pt>
                <c:pt idx="17">
                  <c:v>1.7361038525593457</c:v>
                </c:pt>
                <c:pt idx="18">
                  <c:v>1.7801087133756273</c:v>
                </c:pt>
                <c:pt idx="19">
                  <c:v>1.823774001944883</c:v>
                </c:pt>
                <c:pt idx="20">
                  <c:v>1.8671683949144415</c:v>
                </c:pt>
                <c:pt idx="21">
                  <c:v>1.9103558487164316</c:v>
                </c:pt>
                <c:pt idx="22">
                  <c:v>1.953390639406586</c:v>
                </c:pt>
                <c:pt idx="23">
                  <c:v>1.9963241751093206</c:v>
                </c:pt>
                <c:pt idx="24">
                  <c:v>2.039203714926718</c:v>
                </c:pt>
                <c:pt idx="25">
                  <c:v>2.0820774270256726</c:v>
                </c:pt>
                <c:pt idx="26">
                  <c:v>2.1249808712276046</c:v>
                </c:pt>
                <c:pt idx="27">
                  <c:v>2.167958145518355</c:v>
                </c:pt>
                <c:pt idx="28">
                  <c:v>2.2110421165889305</c:v>
                </c:pt>
                <c:pt idx="29">
                  <c:v>2.254269961649654</c:v>
                </c:pt>
                <c:pt idx="30">
                  <c:v>2.2976797365037616</c:v>
                </c:pt>
                <c:pt idx="31">
                  <c:v>2.3412994388756667</c:v>
                </c:pt>
                <c:pt idx="32">
                  <c:v>2.3851638575108227</c:v>
                </c:pt>
                <c:pt idx="33">
                  <c:v>2.4293075843636216</c:v>
                </c:pt>
                <c:pt idx="34">
                  <c:v>2.47375722773761</c:v>
                </c:pt>
                <c:pt idx="35">
                  <c:v>2.518549586349631</c:v>
                </c:pt>
                <c:pt idx="36">
                  <c:v>2.5637129200261075</c:v>
                </c:pt>
                <c:pt idx="37">
                  <c:v>2.609281836677403</c:v>
                </c:pt>
                <c:pt idx="38">
                  <c:v>2.6552855998968243</c:v>
                </c:pt>
                <c:pt idx="39">
                  <c:v>2.701759803852103</c:v>
                </c:pt>
                <c:pt idx="40">
                  <c:v>2.7487321762648054</c:v>
                </c:pt>
                <c:pt idx="41">
                  <c:v>2.7962408613278336</c:v>
                </c:pt>
                <c:pt idx="42">
                  <c:v>2.844322244457463</c:v>
                </c:pt>
                <c:pt idx="43">
                  <c:v>2.893006265737556</c:v>
                </c:pt>
                <c:pt idx="44">
                  <c:v>2.9423336217519864</c:v>
                </c:pt>
                <c:pt idx="45">
                  <c:v>2.9923429481312978</c:v>
                </c:pt>
                <c:pt idx="46">
                  <c:v>3.043070518451266</c:v>
                </c:pt>
                <c:pt idx="47">
                  <c:v>3.094559333260778</c:v>
                </c:pt>
                <c:pt idx="48">
                  <c:v>3.1468548097693114</c:v>
                </c:pt>
                <c:pt idx="49">
                  <c:v>3.200000011330715</c:v>
                </c:pt>
                <c:pt idx="50">
                  <c:v>3.2540427479293994</c:v>
                </c:pt>
                <c:pt idx="51">
                  <c:v>3.3090333613757386</c:v>
                </c:pt>
                <c:pt idx="52">
                  <c:v>3.3650222728746035</c:v>
                </c:pt>
                <c:pt idx="53">
                  <c:v>3.422067674065034</c:v>
                </c:pt>
                <c:pt idx="54">
                  <c:v>3.4802307925976326</c:v>
                </c:pt>
                <c:pt idx="55">
                  <c:v>3.5395706513984844</c:v>
                </c:pt>
                <c:pt idx="56">
                  <c:v>3.6001546914983233</c:v>
                </c:pt>
                <c:pt idx="57">
                  <c:v>3.6620593791244334</c:v>
                </c:pt>
                <c:pt idx="58">
                  <c:v>3.725353878030962</c:v>
                </c:pt>
                <c:pt idx="59">
                  <c:v>3.7901222965552432</c:v>
                </c:pt>
                <c:pt idx="60">
                  <c:v>3.856459008746355</c:v>
                </c:pt>
                <c:pt idx="61">
                  <c:v>3.924451520942616</c:v>
                </c:pt>
                <c:pt idx="62">
                  <c:v>3.9942069927284596</c:v>
                </c:pt>
                <c:pt idx="63">
                  <c:v>4.065832226618323</c:v>
                </c:pt>
                <c:pt idx="64">
                  <c:v>4.139452310719121</c:v>
                </c:pt>
                <c:pt idx="65">
                  <c:v>4.21519289629149</c:v>
                </c:pt>
                <c:pt idx="66">
                  <c:v>4.293206120942621</c:v>
                </c:pt>
                <c:pt idx="67">
                  <c:v>4.373639656033919</c:v>
                </c:pt>
                <c:pt idx="68">
                  <c:v>4.456669878674282</c:v>
                </c:pt>
                <c:pt idx="69">
                  <c:v>4.542490583081292</c:v>
                </c:pt>
                <c:pt idx="70">
                  <c:v>4.631300324714875</c:v>
                </c:pt>
                <c:pt idx="71">
                  <c:v>4.723338452674883</c:v>
                </c:pt>
                <c:pt idx="72">
                  <c:v>4.81886694189436</c:v>
                </c:pt>
                <c:pt idx="73">
                  <c:v>4.918164876867625</c:v>
                </c:pt>
                <c:pt idx="74">
                  <c:v>5.021567976539592</c:v>
                </c:pt>
                <c:pt idx="75">
                  <c:v>5.129427474851786</c:v>
                </c:pt>
                <c:pt idx="76">
                  <c:v>5.242167063740693</c:v>
                </c:pt>
                <c:pt idx="77">
                  <c:v>5.360257922311612</c:v>
                </c:pt>
                <c:pt idx="78">
                  <c:v>5.484240254069746</c:v>
                </c:pt>
                <c:pt idx="79">
                  <c:v>5.61473080633707</c:v>
                </c:pt>
                <c:pt idx="80">
                  <c:v>5.752457698551694</c:v>
                </c:pt>
                <c:pt idx="81">
                  <c:v>5.898264701976715</c:v>
                </c:pt>
                <c:pt idx="82">
                  <c:v>6.053143858000762</c:v>
                </c:pt>
                <c:pt idx="83">
                  <c:v>6.218292402789146</c:v>
                </c:pt>
                <c:pt idx="84">
                  <c:v>6.39513101219073</c:v>
                </c:pt>
                <c:pt idx="85">
                  <c:v>6.585405782503343</c:v>
                </c:pt>
                <c:pt idx="86">
                  <c:v>6.791237610829327</c:v>
                </c:pt>
                <c:pt idx="87">
                  <c:v>7.015331737221271</c:v>
                </c:pt>
                <c:pt idx="88">
                  <c:v>7.2610893619804635</c:v>
                </c:pt>
                <c:pt idx="89">
                  <c:v>7.5329540267570785</c:v>
                </c:pt>
                <c:pt idx="90">
                  <c:v>7.836858388615891</c:v>
                </c:pt>
                <c:pt idx="91">
                  <c:v>8.180935256909356</c:v>
                </c:pt>
                <c:pt idx="92">
                  <c:v>8.57670049963665</c:v>
                </c:pt>
                <c:pt idx="93">
                  <c:v>9.041381645151993</c:v>
                </c:pt>
                <c:pt idx="94">
                  <c:v>9.602181351012767</c:v>
                </c:pt>
                <c:pt idx="95">
                  <c:v>10.305646750446126</c:v>
                </c:pt>
                <c:pt idx="96">
                  <c:v>11.241441307186138</c:v>
                </c:pt>
                <c:pt idx="97">
                  <c:v>12.618343445223594</c:v>
                </c:pt>
                <c:pt idx="98">
                  <c:v>15.138740949014633</c:v>
                </c:pt>
              </c:numCache>
            </c:numRef>
          </c:xVal>
          <c:yVal>
            <c:numRef>
              <c:f>Fig8!$C$21:$C$119</c:f>
              <c:numCache>
                <c:ptCount val="99"/>
                <c:pt idx="0">
                  <c:v>0.046859566187368216</c:v>
                </c:pt>
                <c:pt idx="1">
                  <c:v>0.08528604853337544</c:v>
                </c:pt>
                <c:pt idx="2">
                  <c:v>0.1098218997361336</c:v>
                </c:pt>
                <c:pt idx="3">
                  <c:v>0.12860981312625688</c:v>
                </c:pt>
                <c:pt idx="4">
                  <c:v>0.14394677464338537</c:v>
                </c:pt>
                <c:pt idx="5">
                  <c:v>0.15685292770426568</c:v>
                </c:pt>
                <c:pt idx="6">
                  <c:v>0.16789740249329435</c:v>
                </c:pt>
                <c:pt idx="7">
                  <c:v>0.17744069609794078</c:v>
                </c:pt>
                <c:pt idx="8">
                  <c:v>0.18575301970718472</c:v>
                </c:pt>
                <c:pt idx="9">
                  <c:v>0.19303031454430544</c:v>
                </c:pt>
                <c:pt idx="10">
                  <c:v>0.1994024986682085</c:v>
                </c:pt>
                <c:pt idx="11">
                  <c:v>0.20498396693681814</c:v>
                </c:pt>
                <c:pt idx="12">
                  <c:v>0.20987810042097177</c:v>
                </c:pt>
                <c:pt idx="13">
                  <c:v>0.21414913790862192</c:v>
                </c:pt>
                <c:pt idx="14">
                  <c:v>0.21786301206283878</c:v>
                </c:pt>
                <c:pt idx="15">
                  <c:v>0.22108062518725188</c:v>
                </c:pt>
                <c:pt idx="16">
                  <c:v>0.22384008571449965</c:v>
                </c:pt>
                <c:pt idx="17">
                  <c:v>0.22617834766712944</c:v>
                </c:pt>
                <c:pt idx="18">
                  <c:v>0.2281278193339019</c:v>
                </c:pt>
                <c:pt idx="19">
                  <c:v>0.22972746564761193</c:v>
                </c:pt>
                <c:pt idx="20">
                  <c:v>0.23099530381664385</c:v>
                </c:pt>
                <c:pt idx="21">
                  <c:v>0.2319587029751024</c:v>
                </c:pt>
                <c:pt idx="22">
                  <c:v>0.23264382173263204</c:v>
                </c:pt>
                <c:pt idx="23">
                  <c:v>0.23306471512383878</c:v>
                </c:pt>
                <c:pt idx="24">
                  <c:v>0.2332273068723857</c:v>
                </c:pt>
                <c:pt idx="25">
                  <c:v>0.23316231106851557</c:v>
                </c:pt>
                <c:pt idx="26">
                  <c:v>0.2328811443479492</c:v>
                </c:pt>
                <c:pt idx="27">
                  <c:v>0.2323926398697868</c:v>
                </c:pt>
                <c:pt idx="28">
                  <c:v>0.23171798366026353</c:v>
                </c:pt>
                <c:pt idx="29">
                  <c:v>0.23084660012199054</c:v>
                </c:pt>
                <c:pt idx="30">
                  <c:v>0.22980719449871756</c:v>
                </c:pt>
                <c:pt idx="31">
                  <c:v>0.22861291591860136</c:v>
                </c:pt>
                <c:pt idx="32">
                  <c:v>0.2272516923190626</c:v>
                </c:pt>
                <c:pt idx="33">
                  <c:v>0.2257505268035587</c:v>
                </c:pt>
                <c:pt idx="34">
                  <c:v>0.2241097191335459</c:v>
                </c:pt>
                <c:pt idx="35">
                  <c:v>0.2223316778648971</c:v>
                </c:pt>
                <c:pt idx="36">
                  <c:v>0.22042878830569793</c:v>
                </c:pt>
                <c:pt idx="37">
                  <c:v>0.21840575189277203</c:v>
                </c:pt>
                <c:pt idx="38">
                  <c:v>0.2162677296119414</c:v>
                </c:pt>
                <c:pt idx="39">
                  <c:v>0.21402603259901615</c:v>
                </c:pt>
                <c:pt idx="40">
                  <c:v>0.21168264342444948</c:v>
                </c:pt>
                <c:pt idx="41">
                  <c:v>0.20922675732054977</c:v>
                </c:pt>
                <c:pt idx="42">
                  <c:v>0.20668543806540945</c:v>
                </c:pt>
                <c:pt idx="43">
                  <c:v>0.2040579425784438</c:v>
                </c:pt>
                <c:pt idx="44">
                  <c:v>0.2013354937778761</c:v>
                </c:pt>
                <c:pt idx="45">
                  <c:v>0.19853698749231946</c:v>
                </c:pt>
                <c:pt idx="46">
                  <c:v>0.19566334668033347</c:v>
                </c:pt>
                <c:pt idx="47">
                  <c:v>0.19270739093559283</c:v>
                </c:pt>
                <c:pt idx="48">
                  <c:v>0.18968011555022726</c:v>
                </c:pt>
                <c:pt idx="49">
                  <c:v>0.1865881585494209</c:v>
                </c:pt>
                <c:pt idx="50">
                  <c:v>0.1834301155723582</c:v>
                </c:pt>
                <c:pt idx="51">
                  <c:v>0.18021342233961596</c:v>
                </c:pt>
                <c:pt idx="52">
                  <c:v>0.17693742301928483</c:v>
                </c:pt>
                <c:pt idx="53">
                  <c:v>0.1735982724895841</c:v>
                </c:pt>
                <c:pt idx="54">
                  <c:v>0.1702084530440789</c:v>
                </c:pt>
                <c:pt idx="55">
                  <c:v>0.16677242971029443</c:v>
                </c:pt>
                <c:pt idx="56">
                  <c:v>0.16328033094397917</c:v>
                </c:pt>
                <c:pt idx="57">
                  <c:v>0.15974544686667086</c:v>
                </c:pt>
                <c:pt idx="58">
                  <c:v>0.1561732342292269</c:v>
                </c:pt>
                <c:pt idx="59">
                  <c:v>0.15254933114262803</c:v>
                </c:pt>
                <c:pt idx="60">
                  <c:v>0.14888792882719906</c:v>
                </c:pt>
                <c:pt idx="61">
                  <c:v>0.14519268755757817</c:v>
                </c:pt>
                <c:pt idx="62">
                  <c:v>0.14146201848698658</c:v>
                </c:pt>
                <c:pt idx="63">
                  <c:v>0.13769807024888692</c:v>
                </c:pt>
                <c:pt idx="64">
                  <c:v>0.13390405950752793</c:v>
                </c:pt>
                <c:pt idx="65">
                  <c:v>0.13007807722571288</c:v>
                </c:pt>
                <c:pt idx="66">
                  <c:v>0.12622536448528238</c:v>
                </c:pt>
                <c:pt idx="67">
                  <c:v>0.12235128004845856</c:v>
                </c:pt>
                <c:pt idx="68">
                  <c:v>0.118447676596935</c:v>
                </c:pt>
                <c:pt idx="69">
                  <c:v>0.11452756637494389</c:v>
                </c:pt>
                <c:pt idx="70">
                  <c:v>0.1105901885653659</c:v>
                </c:pt>
                <c:pt idx="71">
                  <c:v>0.10662878235342794</c:v>
                </c:pt>
                <c:pt idx="72">
                  <c:v>0.10265547952681237</c:v>
                </c:pt>
                <c:pt idx="73">
                  <c:v>0.09866747860958881</c:v>
                </c:pt>
                <c:pt idx="74">
                  <c:v>0.09466891059201801</c:v>
                </c:pt>
                <c:pt idx="75">
                  <c:v>0.09066220651116202</c:v>
                </c:pt>
                <c:pt idx="76">
                  <c:v>0.08664368249548562</c:v>
                </c:pt>
                <c:pt idx="77">
                  <c:v>0.08261964066658413</c:v>
                </c:pt>
                <c:pt idx="78">
                  <c:v>0.07859383555380768</c:v>
                </c:pt>
                <c:pt idx="79">
                  <c:v>0.07456636550478388</c:v>
                </c:pt>
                <c:pt idx="80">
                  <c:v>0.07053830355936953</c:v>
                </c:pt>
                <c:pt idx="81">
                  <c:v>0.06651453474494767</c:v>
                </c:pt>
                <c:pt idx="82">
                  <c:v>0.062494590153375745</c:v>
                </c:pt>
                <c:pt idx="83">
                  <c:v>0.05848172878707124</c:v>
                </c:pt>
                <c:pt idx="84">
                  <c:v>0.054479082226777775</c:v>
                </c:pt>
                <c:pt idx="85">
                  <c:v>0.050491458785941065</c:v>
                </c:pt>
                <c:pt idx="86">
                  <c:v>0.046519638511059135</c:v>
                </c:pt>
                <c:pt idx="87">
                  <c:v>0.042566617983225655</c:v>
                </c:pt>
                <c:pt idx="88">
                  <c:v>0.03863821246557137</c:v>
                </c:pt>
                <c:pt idx="89">
                  <c:v>0.034736151259945884</c:v>
                </c:pt>
                <c:pt idx="90">
                  <c:v>0.03086509156337748</c:v>
                </c:pt>
                <c:pt idx="91">
                  <c:v>0.027032794838355537</c:v>
                </c:pt>
                <c:pt idx="92">
                  <c:v>0.023243749143799182</c:v>
                </c:pt>
                <c:pt idx="93">
                  <c:v>0.019503045788872034</c:v>
                </c:pt>
                <c:pt idx="94">
                  <c:v>0.015819466911053435</c:v>
                </c:pt>
                <c:pt idx="95">
                  <c:v>0.012200627438424896</c:v>
                </c:pt>
                <c:pt idx="96">
                  <c:v>0.008647913081366882</c:v>
                </c:pt>
                <c:pt idx="97">
                  <c:v>0.005131758355284333</c:v>
                </c:pt>
                <c:pt idx="98">
                  <c:v>0.001507910615791236</c:v>
                </c:pt>
              </c:numCache>
            </c:numRef>
          </c:yVal>
          <c:smooth val="1"/>
        </c:ser>
        <c:ser>
          <c:idx val="1"/>
          <c:order val="1"/>
          <c:tx>
            <c:v>Gamma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Fig8!$D$21:$D$119</c:f>
              <c:numCache>
                <c:ptCount val="99"/>
                <c:pt idx="0">
                  <c:v>0.23168468032963574</c:v>
                </c:pt>
                <c:pt idx="1">
                  <c:v>0.34852746466640383</c:v>
                </c:pt>
                <c:pt idx="2">
                  <c:v>0.44447006075643003</c:v>
                </c:pt>
                <c:pt idx="3">
                  <c:v>0.5295532901072875</c:v>
                </c:pt>
                <c:pt idx="4">
                  <c:v>0.607747097092215</c:v>
                </c:pt>
                <c:pt idx="5">
                  <c:v>0.6811114872107282</c:v>
                </c:pt>
                <c:pt idx="6">
                  <c:v>0.7508879207307473</c:v>
                </c:pt>
                <c:pt idx="7">
                  <c:v>0.8178903954103589</c:v>
                </c:pt>
                <c:pt idx="8">
                  <c:v>0.8826827979646623</c:v>
                </c:pt>
                <c:pt idx="9">
                  <c:v>0.9456880434299819</c:v>
                </c:pt>
                <c:pt idx="10">
                  <c:v>1.0072244549519382</c:v>
                </c:pt>
                <c:pt idx="11">
                  <c:v>1.0675398698367644</c:v>
                </c:pt>
                <c:pt idx="12">
                  <c:v>1.1268389243923593</c:v>
                </c:pt>
                <c:pt idx="13">
                  <c:v>1.1852853276650421</c:v>
                </c:pt>
                <c:pt idx="14">
                  <c:v>1.2430155038600788</c:v>
                </c:pt>
                <c:pt idx="15">
                  <c:v>1.3001454135519452</c:v>
                </c:pt>
                <c:pt idx="16">
                  <c:v>1.356777374894591</c:v>
                </c:pt>
                <c:pt idx="17">
                  <c:v>1.413000063621439</c:v>
                </c:pt>
                <c:pt idx="18">
                  <c:v>1.4688885130453855</c:v>
                </c:pt>
                <c:pt idx="19">
                  <c:v>1.5245109352690633</c:v>
                </c:pt>
                <c:pt idx="20">
                  <c:v>1.5799309949215967</c:v>
                </c:pt>
                <c:pt idx="21">
                  <c:v>1.635203261685092</c:v>
                </c:pt>
                <c:pt idx="22">
                  <c:v>1.6903823052416556</c:v>
                </c:pt>
                <c:pt idx="23">
                  <c:v>1.7455113265896216</c:v>
                </c:pt>
                <c:pt idx="24">
                  <c:v>1.8006380742008332</c:v>
                </c:pt>
                <c:pt idx="25">
                  <c:v>1.8558012016001157</c:v>
                </c:pt>
                <c:pt idx="26">
                  <c:v>1.9110439097858034</c:v>
                </c:pt>
                <c:pt idx="27">
                  <c:v>1.9663980310724583</c:v>
                </c:pt>
                <c:pt idx="28">
                  <c:v>2.0219022189849056</c:v>
                </c:pt>
                <c:pt idx="29">
                  <c:v>2.077595127047971</c:v>
                </c:pt>
                <c:pt idx="30">
                  <c:v>2.133501766365953</c:v>
                </c:pt>
                <c:pt idx="31">
                  <c:v>2.1896607904636767</c:v>
                </c:pt>
                <c:pt idx="32">
                  <c:v>2.24610175791895</c:v>
                </c:pt>
                <c:pt idx="33">
                  <c:v>2.3028587747830898</c:v>
                </c:pt>
                <c:pt idx="34">
                  <c:v>2.359961399633903</c:v>
                </c:pt>
                <c:pt idx="35">
                  <c:v>2.4174391910491977</c:v>
                </c:pt>
                <c:pt idx="36">
                  <c:v>2.47532625508029</c:v>
                </c:pt>
                <c:pt idx="37">
                  <c:v>2.533652150304988</c:v>
                </c:pt>
                <c:pt idx="38">
                  <c:v>2.592450982774608</c:v>
                </c:pt>
                <c:pt idx="39">
                  <c:v>2.6517545848037116</c:v>
                </c:pt>
                <c:pt idx="40">
                  <c:v>2.7115902412333526</c:v>
                </c:pt>
                <c:pt idx="41">
                  <c:v>2.7719988793251105</c:v>
                </c:pt>
                <c:pt idx="42">
                  <c:v>2.833010057656793</c:v>
                </c:pt>
                <c:pt idx="43">
                  <c:v>2.894660156016471</c:v>
                </c:pt>
                <c:pt idx="44">
                  <c:v>2.956985554192215</c:v>
                </c:pt>
                <c:pt idx="45">
                  <c:v>3.0200249057088513</c:v>
                </c:pt>
                <c:pt idx="46">
                  <c:v>3.08381459035445</c:v>
                </c:pt>
                <c:pt idx="47">
                  <c:v>3.1483978091273457</c:v>
                </c:pt>
                <c:pt idx="48">
                  <c:v>3.2138132155523635</c:v>
                </c:pt>
                <c:pt idx="49">
                  <c:v>3.2801062843645923</c:v>
                </c:pt>
                <c:pt idx="50">
                  <c:v>3.3473270377726294</c:v>
                </c:pt>
                <c:pt idx="51">
                  <c:v>3.4155164030380547</c:v>
                </c:pt>
                <c:pt idx="52">
                  <c:v>3.4847289498429745</c:v>
                </c:pt>
                <c:pt idx="53">
                  <c:v>3.5550192478694953</c:v>
                </c:pt>
                <c:pt idx="54">
                  <c:v>3.6264418667997234</c:v>
                </c:pt>
                <c:pt idx="55">
                  <c:v>3.699055923789274</c:v>
                </c:pt>
                <c:pt idx="56">
                  <c:v>3.772925083467271</c:v>
                </c:pt>
                <c:pt idx="57">
                  <c:v>3.848122105409857</c:v>
                </c:pt>
                <c:pt idx="58">
                  <c:v>3.924710654246155</c:v>
                </c:pt>
                <c:pt idx="59">
                  <c:v>4.0027771319728345</c:v>
                </c:pt>
                <c:pt idx="60">
                  <c:v>4.082394298166037</c:v>
                </c:pt>
                <c:pt idx="61">
                  <c:v>4.163653102295939</c:v>
                </c:pt>
                <c:pt idx="62">
                  <c:v>4.246653588779736</c:v>
                </c:pt>
                <c:pt idx="63">
                  <c:v>4.331491254561115</c:v>
                </c:pt>
                <c:pt idx="64">
                  <c:v>4.418279786477797</c:v>
                </c:pt>
                <c:pt idx="65">
                  <c:v>4.507137418841012</c:v>
                </c:pt>
                <c:pt idx="66">
                  <c:v>4.598200575856026</c:v>
                </c:pt>
                <c:pt idx="67">
                  <c:v>4.691601134254597</c:v>
                </c:pt>
                <c:pt idx="68">
                  <c:v>4.787498255609535</c:v>
                </c:pt>
                <c:pt idx="69">
                  <c:v>4.886060196440667</c:v>
                </c:pt>
                <c:pt idx="70">
                  <c:v>4.987473403161857</c:v>
                </c:pt>
                <c:pt idx="71">
                  <c:v>5.0919470595545135</c:v>
                </c:pt>
                <c:pt idx="72">
                  <c:v>5.199699444347061</c:v>
                </c:pt>
                <c:pt idx="73">
                  <c:v>5.3109943110030144</c:v>
                </c:pt>
                <c:pt idx="74">
                  <c:v>5.426104507932905</c:v>
                </c:pt>
                <c:pt idx="75">
                  <c:v>5.545348358282354</c:v>
                </c:pt>
                <c:pt idx="76">
                  <c:v>5.669080564985052</c:v>
                </c:pt>
                <c:pt idx="77">
                  <c:v>5.797701305709779</c:v>
                </c:pt>
                <c:pt idx="78">
                  <c:v>5.931678970227949</c:v>
                </c:pt>
                <c:pt idx="79">
                  <c:v>6.071522875572555</c:v>
                </c:pt>
                <c:pt idx="80">
                  <c:v>6.217833288246766</c:v>
                </c:pt>
                <c:pt idx="81">
                  <c:v>6.371328709064983</c:v>
                </c:pt>
                <c:pt idx="82">
                  <c:v>6.532809493364766</c:v>
                </c:pt>
                <c:pt idx="83">
                  <c:v>6.703257895424031</c:v>
                </c:pt>
                <c:pt idx="84">
                  <c:v>6.883810783619992</c:v>
                </c:pt>
                <c:pt idx="85">
                  <c:v>7.075859684846364</c:v>
                </c:pt>
                <c:pt idx="86">
                  <c:v>7.281105354195461</c:v>
                </c:pt>
                <c:pt idx="87">
                  <c:v>7.50163962948136</c:v>
                </c:pt>
                <c:pt idx="88">
                  <c:v>7.740109140286222</c:v>
                </c:pt>
                <c:pt idx="89">
                  <c:v>7.999897206900641</c:v>
                </c:pt>
                <c:pt idx="90">
                  <c:v>8.28547854325734</c:v>
                </c:pt>
                <c:pt idx="91">
                  <c:v>8.602874004282057</c:v>
                </c:pt>
                <c:pt idx="92">
                  <c:v>8.960487321019173</c:v>
                </c:pt>
                <c:pt idx="93">
                  <c:v>9.370687621412799</c:v>
                </c:pt>
                <c:pt idx="94">
                  <c:v>9.85248334472999</c:v>
                </c:pt>
                <c:pt idx="95">
                  <c:v>10.437724995426834</c:v>
                </c:pt>
                <c:pt idx="96">
                  <c:v>11.185838957317173</c:v>
                </c:pt>
                <c:pt idx="97">
                  <c:v>12.22972059622407</c:v>
                </c:pt>
                <c:pt idx="98">
                  <c:v>13.991084415465593</c:v>
                </c:pt>
              </c:numCache>
            </c:numRef>
          </c:xVal>
          <c:yVal>
            <c:numRef>
              <c:f>Fig8!$E$21:$E$119</c:f>
              <c:numCache>
                <c:ptCount val="99"/>
                <c:pt idx="0">
                  <c:v>0.06625454609033649</c:v>
                </c:pt>
                <c:pt idx="1">
                  <c:v>0.09399141971071977</c:v>
                </c:pt>
                <c:pt idx="2">
                  <c:v>0.11048147385209003</c:v>
                </c:pt>
                <c:pt idx="3">
                  <c:v>0.1224911993066147</c:v>
                </c:pt>
                <c:pt idx="4">
                  <c:v>0.1319625093346135</c:v>
                </c:pt>
                <c:pt idx="5">
                  <c:v>0.13972254379718527</c:v>
                </c:pt>
                <c:pt idx="6">
                  <c:v>0.14622137479566463</c:v>
                </c:pt>
                <c:pt idx="7">
                  <c:v>0.15175096650003442</c:v>
                </c:pt>
                <c:pt idx="8">
                  <c:v>0.1564974028076718</c:v>
                </c:pt>
                <c:pt idx="9">
                  <c:v>0.16058883817519265</c:v>
                </c:pt>
                <c:pt idx="10">
                  <c:v>0.16413377287619182</c:v>
                </c:pt>
                <c:pt idx="11">
                  <c:v>0.16720385162065887</c:v>
                </c:pt>
                <c:pt idx="12">
                  <c:v>0.16985793226239274</c:v>
                </c:pt>
                <c:pt idx="13">
                  <c:v>0.17215173739520492</c:v>
                </c:pt>
                <c:pt idx="14">
                  <c:v>0.1741248915632274</c:v>
                </c:pt>
                <c:pt idx="15">
                  <c:v>0.17580582859728594</c:v>
                </c:pt>
                <c:pt idx="16">
                  <c:v>0.17721910428754473</c:v>
                </c:pt>
                <c:pt idx="17">
                  <c:v>0.17839440692412833</c:v>
                </c:pt>
                <c:pt idx="18">
                  <c:v>0.1793547095856291</c:v>
                </c:pt>
                <c:pt idx="19">
                  <c:v>0.18011124807436976</c:v>
                </c:pt>
                <c:pt idx="20">
                  <c:v>0.18068099792962627</c:v>
                </c:pt>
                <c:pt idx="21">
                  <c:v>0.18107526241241756</c:v>
                </c:pt>
                <c:pt idx="22">
                  <c:v>0.1813104057016118</c:v>
                </c:pt>
                <c:pt idx="23">
                  <c:v>0.1813964039142933</c:v>
                </c:pt>
                <c:pt idx="24">
                  <c:v>0.1813403088732942</c:v>
                </c:pt>
                <c:pt idx="25">
                  <c:v>0.1811498449699942</c:v>
                </c:pt>
                <c:pt idx="26">
                  <c:v>0.18083701038646424</c:v>
                </c:pt>
                <c:pt idx="27">
                  <c:v>0.18041047301271604</c:v>
                </c:pt>
                <c:pt idx="28">
                  <c:v>0.17986081223204137</c:v>
                </c:pt>
                <c:pt idx="29">
                  <c:v>0.17921219636950425</c:v>
                </c:pt>
                <c:pt idx="30">
                  <c:v>0.1784667969689372</c:v>
                </c:pt>
                <c:pt idx="31">
                  <c:v>0.17761990675271613</c:v>
                </c:pt>
                <c:pt idx="32">
                  <c:v>0.17668159128669295</c:v>
                </c:pt>
                <c:pt idx="33">
                  <c:v>0.17565486504928476</c:v>
                </c:pt>
                <c:pt idx="34">
                  <c:v>0.17454989824396214</c:v>
                </c:pt>
                <c:pt idx="35">
                  <c:v>0.17336302223595743</c:v>
                </c:pt>
                <c:pt idx="36">
                  <c:v>0.17209784629938776</c:v>
                </c:pt>
                <c:pt idx="37">
                  <c:v>0.17075813445814583</c:v>
                </c:pt>
                <c:pt idx="38">
                  <c:v>0.16934451931400424</c:v>
                </c:pt>
                <c:pt idx="39">
                  <c:v>0.16787077793442465</c:v>
                </c:pt>
                <c:pt idx="40">
                  <c:v>0.16632805805551742</c:v>
                </c:pt>
                <c:pt idx="41">
                  <c:v>0.16471775851029022</c:v>
                </c:pt>
                <c:pt idx="42">
                  <c:v>0.1630506427087328</c:v>
                </c:pt>
                <c:pt idx="43">
                  <c:v>0.16132220123260904</c:v>
                </c:pt>
                <c:pt idx="44">
                  <c:v>0.15953447878351726</c:v>
                </c:pt>
                <c:pt idx="45">
                  <c:v>0.1576925963106487</c:v>
                </c:pt>
                <c:pt idx="46">
                  <c:v>0.1557961179299666</c:v>
                </c:pt>
                <c:pt idx="47">
                  <c:v>0.15384778084807793</c:v>
                </c:pt>
                <c:pt idx="48">
                  <c:v>0.15185051655919635</c:v>
                </c:pt>
                <c:pt idx="49">
                  <c:v>0.14979722449264318</c:v>
                </c:pt>
                <c:pt idx="50">
                  <c:v>0.1476994496122512</c:v>
                </c:pt>
                <c:pt idx="51">
                  <c:v>0.14555838196604348</c:v>
                </c:pt>
                <c:pt idx="52">
                  <c:v>0.14336625195110356</c:v>
                </c:pt>
                <c:pt idx="53">
                  <c:v>0.14113039537605507</c:v>
                </c:pt>
                <c:pt idx="54">
                  <c:v>0.1388535237451539</c:v>
                </c:pt>
                <c:pt idx="55">
                  <c:v>0.13653441298596733</c:v>
                </c:pt>
                <c:pt idx="56">
                  <c:v>0.13416859399341</c:v>
                </c:pt>
                <c:pt idx="57">
                  <c:v>0.13176483046030332</c:v>
                </c:pt>
                <c:pt idx="58">
                  <c:v>0.12932007736493292</c:v>
                </c:pt>
                <c:pt idx="59">
                  <c:v>0.12683623680184583</c:v>
                </c:pt>
                <c:pt idx="60">
                  <c:v>0.12431937448353461</c:v>
                </c:pt>
                <c:pt idx="61">
                  <c:v>0.12175871407502571</c:v>
                </c:pt>
                <c:pt idx="62">
                  <c:v>0.1191624176629458</c:v>
                </c:pt>
                <c:pt idx="63">
                  <c:v>0.11653232588177324</c:v>
                </c:pt>
                <c:pt idx="64">
                  <c:v>0.11386528184088036</c:v>
                </c:pt>
                <c:pt idx="65">
                  <c:v>0.11116002808300275</c:v>
                </c:pt>
                <c:pt idx="66">
                  <c:v>0.10842240684114002</c:v>
                </c:pt>
                <c:pt idx="67">
                  <c:v>0.10565369858755086</c:v>
                </c:pt>
                <c:pt idx="68">
                  <c:v>0.10284941095140497</c:v>
                </c:pt>
                <c:pt idx="69">
                  <c:v>0.10001242776814108</c:v>
                </c:pt>
                <c:pt idx="70">
                  <c:v>0.09714072912432918</c:v>
                </c:pt>
                <c:pt idx="71">
                  <c:v>0.0942391418522789</c:v>
                </c:pt>
                <c:pt idx="72">
                  <c:v>0.09130450105055127</c:v>
                </c:pt>
                <c:pt idx="73">
                  <c:v>0.08833724689384786</c:v>
                </c:pt>
                <c:pt idx="74">
                  <c:v>0.08534096266816735</c:v>
                </c:pt>
                <c:pt idx="75">
                  <c:v>0.08231263706657191</c:v>
                </c:pt>
                <c:pt idx="76">
                  <c:v>0.07925407729090163</c:v>
                </c:pt>
                <c:pt idx="77">
                  <c:v>0.07616192482776303</c:v>
                </c:pt>
                <c:pt idx="78">
                  <c:v>0.07304026490689879</c:v>
                </c:pt>
                <c:pt idx="79">
                  <c:v>0.06989235786644636</c:v>
                </c:pt>
                <c:pt idx="80">
                  <c:v>0.06670984272394095</c:v>
                </c:pt>
                <c:pt idx="81">
                  <c:v>0.06349686000092371</c:v>
                </c:pt>
                <c:pt idx="82">
                  <c:v>0.06025381563875499</c:v>
                </c:pt>
                <c:pt idx="83">
                  <c:v>0.05697984752550986</c:v>
                </c:pt>
                <c:pt idx="84">
                  <c:v>0.05367660748760013</c:v>
                </c:pt>
                <c:pt idx="85">
                  <c:v>0.050340481550076734</c:v>
                </c:pt>
                <c:pt idx="86">
                  <c:v>0.04697262107341668</c:v>
                </c:pt>
                <c:pt idx="87">
                  <c:v>0.04357262533787751</c:v>
                </c:pt>
                <c:pt idx="88">
                  <c:v>0.04013988127102807</c:v>
                </c:pt>
                <c:pt idx="89">
                  <c:v>0.036672391027149656</c:v>
                </c:pt>
                <c:pt idx="90">
                  <c:v>0.033168772143232106</c:v>
                </c:pt>
                <c:pt idx="91">
                  <c:v>0.029629244328222292</c:v>
                </c:pt>
                <c:pt idx="92">
                  <c:v>0.026047988149439597</c:v>
                </c:pt>
                <c:pt idx="93">
                  <c:v>0.02242162461307547</c:v>
                </c:pt>
                <c:pt idx="94">
                  <c:v>0.018743485923799475</c:v>
                </c:pt>
                <c:pt idx="95">
                  <c:v>0.014999749362582207</c:v>
                </c:pt>
                <c:pt idx="96">
                  <c:v>0.01116074168435585</c:v>
                </c:pt>
                <c:pt idx="97">
                  <c:v>0.007129500893373109</c:v>
                </c:pt>
                <c:pt idx="98">
                  <c:v>0.0025430837481671947</c:v>
                </c:pt>
              </c:numCache>
            </c:numRef>
          </c:yVal>
          <c:smooth val="1"/>
        </c:ser>
        <c:ser>
          <c:idx val="2"/>
          <c:order val="2"/>
          <c:tx>
            <c:v>Normal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Fig8!$F$21:$F$119</c:f>
              <c:numCache>
                <c:ptCount val="99"/>
                <c:pt idx="0">
                  <c:v>-2.9790257839486003</c:v>
                </c:pt>
                <c:pt idx="1">
                  <c:v>-2.161244527902454</c:v>
                </c:pt>
                <c:pt idx="2">
                  <c:v>-1.6423687055939808</c:v>
                </c:pt>
                <c:pt idx="3">
                  <c:v>-1.2520590543281287</c:v>
                </c:pt>
                <c:pt idx="4">
                  <c:v>-0.9345590014127083</c:v>
                </c:pt>
                <c:pt idx="5">
                  <c:v>-0.6643162932014093</c:v>
                </c:pt>
                <c:pt idx="6">
                  <c:v>-0.427374733495526</c:v>
                </c:pt>
                <c:pt idx="7">
                  <c:v>-0.2152214518864639</c:v>
                </c:pt>
                <c:pt idx="8">
                  <c:v>-0.022263055958319455</c:v>
                </c:pt>
                <c:pt idx="9">
                  <c:v>0.15534761687740684</c:v>
                </c:pt>
                <c:pt idx="10">
                  <c:v>0.32041408403893</c:v>
                </c:pt>
                <c:pt idx="11">
                  <c:v>0.47503727828734554</c:v>
                </c:pt>
                <c:pt idx="12">
                  <c:v>0.6208270052447915</c:v>
                </c:pt>
                <c:pt idx="13">
                  <c:v>0.7590383675997145</c:v>
                </c:pt>
                <c:pt idx="14">
                  <c:v>0.8907013681018725</c:v>
                </c:pt>
                <c:pt idx="15">
                  <c:v>1.0166277307725977</c:v>
                </c:pt>
                <c:pt idx="16">
                  <c:v>1.1375063978484832</c:v>
                </c:pt>
                <c:pt idx="17">
                  <c:v>1.2539035297813825</c:v>
                </c:pt>
                <c:pt idx="18">
                  <c:v>1.3663102537102532</c:v>
                </c:pt>
                <c:pt idx="19">
                  <c:v>1.475135842250893</c:v>
                </c:pt>
                <c:pt idx="20">
                  <c:v>1.5807349983369932</c:v>
                </c:pt>
                <c:pt idx="21">
                  <c:v>1.6834214976406656</c:v>
                </c:pt>
                <c:pt idx="22">
                  <c:v>1.7834613673621789</c:v>
                </c:pt>
                <c:pt idx="23">
                  <c:v>1.8810933498607483</c:v>
                </c:pt>
                <c:pt idx="24">
                  <c:v>1.976528902654536</c:v>
                </c:pt>
                <c:pt idx="25">
                  <c:v>2.069965840841178</c:v>
                </c:pt>
                <c:pt idx="26">
                  <c:v>2.1615610522567295</c:v>
                </c:pt>
                <c:pt idx="27">
                  <c:v>2.25147824594751</c:v>
                </c:pt>
                <c:pt idx="28">
                  <c:v>2.339847024908522</c:v>
                </c:pt>
                <c:pt idx="29">
                  <c:v>2.4267969921347685</c:v>
                </c:pt>
                <c:pt idx="30">
                  <c:v>2.5124509294109885</c:v>
                </c:pt>
                <c:pt idx="31">
                  <c:v>2.596904333680868</c:v>
                </c:pt>
                <c:pt idx="32">
                  <c:v>2.680259523098357</c:v>
                </c:pt>
                <c:pt idx="33">
                  <c:v>2.7626119946071412</c:v>
                </c:pt>
                <c:pt idx="34">
                  <c:v>2.844036781520117</c:v>
                </c:pt>
                <c:pt idx="35">
                  <c:v>2.9246225595707074</c:v>
                </c:pt>
                <c:pt idx="36">
                  <c:v>3.004437540861545</c:v>
                </c:pt>
                <c:pt idx="37">
                  <c:v>3.0835567587055266</c:v>
                </c:pt>
                <c:pt idx="38">
                  <c:v>3.1620416039950214</c:v>
                </c:pt>
                <c:pt idx="39">
                  <c:v>3.2399602888326626</c:v>
                </c:pt>
                <c:pt idx="40">
                  <c:v>3.317363972295425</c:v>
                </c:pt>
                <c:pt idx="41">
                  <c:v>3.3943174558808096</c:v>
                </c:pt>
                <c:pt idx="42">
                  <c:v>3.4708787198760547</c:v>
                </c:pt>
                <c:pt idx="43">
                  <c:v>3.5470921021478716</c:v>
                </c:pt>
                <c:pt idx="44">
                  <c:v>3.6230155829834985</c:v>
                </c:pt>
                <c:pt idx="45">
                  <c:v>3.69870032145991</c:v>
                </c:pt>
                <c:pt idx="46">
                  <c:v>3.7741906554438174</c:v>
                </c:pt>
                <c:pt idx="47">
                  <c:v>3.8495377440121956</c:v>
                </c:pt>
                <c:pt idx="48">
                  <c:v>3.9247927462420193</c:v>
                </c:pt>
                <c:pt idx="49">
                  <c:v>4</c:v>
                </c:pt>
                <c:pt idx="50">
                  <c:v>4.075207253757981</c:v>
                </c:pt>
                <c:pt idx="51">
                  <c:v>4.150462255987804</c:v>
                </c:pt>
                <c:pt idx="52">
                  <c:v>4.225809344556183</c:v>
                </c:pt>
                <c:pt idx="53">
                  <c:v>4.30129967854009</c:v>
                </c:pt>
                <c:pt idx="54">
                  <c:v>4.3769844170165015</c:v>
                </c:pt>
                <c:pt idx="55">
                  <c:v>4.452907897852128</c:v>
                </c:pt>
                <c:pt idx="56">
                  <c:v>4.529121280123945</c:v>
                </c:pt>
                <c:pt idx="57">
                  <c:v>4.60568254411919</c:v>
                </c:pt>
                <c:pt idx="58">
                  <c:v>4.682636027704575</c:v>
                </c:pt>
                <c:pt idx="59">
                  <c:v>4.760039711167337</c:v>
                </c:pt>
                <c:pt idx="60">
                  <c:v>4.837958396004979</c:v>
                </c:pt>
                <c:pt idx="61">
                  <c:v>4.916443241294473</c:v>
                </c:pt>
                <c:pt idx="62">
                  <c:v>4.995562459138455</c:v>
                </c:pt>
                <c:pt idx="63">
                  <c:v>5.075377440429293</c:v>
                </c:pt>
                <c:pt idx="64">
                  <c:v>5.155963218479883</c:v>
                </c:pt>
                <c:pt idx="65">
                  <c:v>5.237388005392859</c:v>
                </c:pt>
                <c:pt idx="66">
                  <c:v>5.319740476901643</c:v>
                </c:pt>
                <c:pt idx="67">
                  <c:v>5.403095666319132</c:v>
                </c:pt>
                <c:pt idx="68">
                  <c:v>5.4875490705890115</c:v>
                </c:pt>
                <c:pt idx="69">
                  <c:v>5.5732030078652315</c:v>
                </c:pt>
                <c:pt idx="70">
                  <c:v>5.660152975091478</c:v>
                </c:pt>
                <c:pt idx="71">
                  <c:v>5.74852175405249</c:v>
                </c:pt>
                <c:pt idx="72">
                  <c:v>5.8384389477432705</c:v>
                </c:pt>
                <c:pt idx="73">
                  <c:v>5.930034159158822</c:v>
                </c:pt>
                <c:pt idx="74">
                  <c:v>6.023471097345464</c:v>
                </c:pt>
                <c:pt idx="75">
                  <c:v>6.118906650139252</c:v>
                </c:pt>
                <c:pt idx="76">
                  <c:v>6.216538632637821</c:v>
                </c:pt>
                <c:pt idx="77">
                  <c:v>6.316578502359334</c:v>
                </c:pt>
                <c:pt idx="78">
                  <c:v>6.419265001663007</c:v>
                </c:pt>
                <c:pt idx="79">
                  <c:v>6.524864157749107</c:v>
                </c:pt>
                <c:pt idx="80">
                  <c:v>6.633689746289747</c:v>
                </c:pt>
                <c:pt idx="81">
                  <c:v>6.7460964702186175</c:v>
                </c:pt>
                <c:pt idx="82">
                  <c:v>6.862493602151517</c:v>
                </c:pt>
                <c:pt idx="83">
                  <c:v>6.983372269227402</c:v>
                </c:pt>
                <c:pt idx="84">
                  <c:v>7.1092986318981275</c:v>
                </c:pt>
                <c:pt idx="85">
                  <c:v>7.2409616324002855</c:v>
                </c:pt>
                <c:pt idx="86">
                  <c:v>7.3791729947552085</c:v>
                </c:pt>
                <c:pt idx="87">
                  <c:v>7.5249627217126545</c:v>
                </c:pt>
                <c:pt idx="88">
                  <c:v>7.67958591596107</c:v>
                </c:pt>
                <c:pt idx="89">
                  <c:v>7.844652383122593</c:v>
                </c:pt>
                <c:pt idx="90">
                  <c:v>8.02226305595832</c:v>
                </c:pt>
                <c:pt idx="91">
                  <c:v>8.215221451886464</c:v>
                </c:pt>
                <c:pt idx="92">
                  <c:v>8.427374733495526</c:v>
                </c:pt>
                <c:pt idx="93">
                  <c:v>8.66431629320141</c:v>
                </c:pt>
                <c:pt idx="94">
                  <c:v>8.934559001412708</c:v>
                </c:pt>
                <c:pt idx="95">
                  <c:v>9.252059054328129</c:v>
                </c:pt>
                <c:pt idx="96">
                  <c:v>9.64236870559398</c:v>
                </c:pt>
                <c:pt idx="97">
                  <c:v>10.161244527902454</c:v>
                </c:pt>
                <c:pt idx="98">
                  <c:v>10.9790257839486</c:v>
                </c:pt>
              </c:numCache>
            </c:numRef>
          </c:xVal>
          <c:yVal>
            <c:numRef>
              <c:f>Fig8!$G$21:$G$119</c:f>
              <c:numCache>
                <c:ptCount val="99"/>
                <c:pt idx="0">
                  <c:v>0.0061103275091970565</c:v>
                </c:pt>
                <c:pt idx="1">
                  <c:v>0.014962700848163191</c:v>
                </c:pt>
                <c:pt idx="2">
                  <c:v>0.021997711777524357</c:v>
                </c:pt>
                <c:pt idx="3">
                  <c:v>0.028256182250473827</c:v>
                </c:pt>
                <c:pt idx="4">
                  <c:v>0.034028492263621306</c:v>
                </c:pt>
                <c:pt idx="5">
                  <c:v>0.03943339978215923</c:v>
                </c:pt>
                <c:pt idx="6">
                  <c:v>0.0445340230171431</c:v>
                </c:pt>
                <c:pt idx="7">
                  <c:v>0.049369102667160554</c:v>
                </c:pt>
                <c:pt idx="8">
                  <c:v>0.05397104530800477</c:v>
                </c:pt>
                <c:pt idx="9">
                  <c:v>0.058363974906994194</c:v>
                </c:pt>
                <c:pt idx="10">
                  <c:v>0.06256067184591856</c:v>
                </c:pt>
                <c:pt idx="11">
                  <c:v>0.06657503252429935</c:v>
                </c:pt>
                <c:pt idx="12">
                  <c:v>0.0704222650991394</c:v>
                </c:pt>
                <c:pt idx="13">
                  <c:v>0.07410855847241596</c:v>
                </c:pt>
                <c:pt idx="14">
                  <c:v>0.07764295758818593</c:v>
                </c:pt>
                <c:pt idx="15">
                  <c:v>0.08103562565371371</c:v>
                </c:pt>
                <c:pt idx="16">
                  <c:v>0.08429009651869096</c:v>
                </c:pt>
                <c:pt idx="17">
                  <c:v>0.08741111431305086</c:v>
                </c:pt>
                <c:pt idx="18">
                  <c:v>0.09040270734753705</c:v>
                </c:pt>
                <c:pt idx="19">
                  <c:v>0.09327281715930222</c:v>
                </c:pt>
                <c:pt idx="20">
                  <c:v>0.096021975025468</c:v>
                </c:pt>
                <c:pt idx="21">
                  <c:v>0.09865514829753261</c:v>
                </c:pt>
                <c:pt idx="22">
                  <c:v>0.10117778416793766</c:v>
                </c:pt>
                <c:pt idx="23">
                  <c:v>0.10359069415639716</c:v>
                </c:pt>
                <c:pt idx="24">
                  <c:v>0.10589154564638192</c:v>
                </c:pt>
                <c:pt idx="25">
                  <c:v>0.10808932416879265</c:v>
                </c:pt>
                <c:pt idx="26">
                  <c:v>0.1101853065540274</c:v>
                </c:pt>
                <c:pt idx="27">
                  <c:v>0.11217932461271994</c:v>
                </c:pt>
                <c:pt idx="28">
                  <c:v>0.11407793196648748</c:v>
                </c:pt>
                <c:pt idx="29">
                  <c:v>0.11587223393149973</c:v>
                </c:pt>
                <c:pt idx="30">
                  <c:v>0.11757282089191873</c:v>
                </c:pt>
                <c:pt idx="31">
                  <c:v>0.11918340747947925</c:v>
                </c:pt>
                <c:pt idx="32">
                  <c:v>0.1206944801960511</c:v>
                </c:pt>
                <c:pt idx="33">
                  <c:v>0.12211707652655815</c:v>
                </c:pt>
                <c:pt idx="34">
                  <c:v>0.12344873931214101</c:v>
                </c:pt>
                <c:pt idx="35">
                  <c:v>0.12468768902414074</c:v>
                </c:pt>
                <c:pt idx="36">
                  <c:v>0.12583824066105875</c:v>
                </c:pt>
                <c:pt idx="37">
                  <c:v>0.12690028164478118</c:v>
                </c:pt>
                <c:pt idx="38">
                  <c:v>0.12787435158108376</c:v>
                </c:pt>
                <c:pt idx="39">
                  <c:v>0.12876445433357464</c:v>
                </c:pt>
                <c:pt idx="40">
                  <c:v>0.1295696233772001</c:v>
                </c:pt>
                <c:pt idx="41">
                  <c:v>0.13028064283853588</c:v>
                </c:pt>
                <c:pt idx="42">
                  <c:v>0.13091177422881053</c:v>
                </c:pt>
                <c:pt idx="43">
                  <c:v>0.13146057826810453</c:v>
                </c:pt>
                <c:pt idx="44">
                  <c:v>0.1319189691083717</c:v>
                </c:pt>
                <c:pt idx="45">
                  <c:v>0.13229694336842238</c:v>
                </c:pt>
                <c:pt idx="46">
                  <c:v>0.1325930903722996</c:v>
                </c:pt>
                <c:pt idx="47">
                  <c:v>0.13280028115146722</c:v>
                </c:pt>
                <c:pt idx="48">
                  <c:v>0.13292370148710986</c:v>
                </c:pt>
                <c:pt idx="49">
                  <c:v>0.13296589757392724</c:v>
                </c:pt>
                <c:pt idx="50">
                  <c:v>0.13292370148710986</c:v>
                </c:pt>
                <c:pt idx="51">
                  <c:v>0.13280028115146722</c:v>
                </c:pt>
                <c:pt idx="52">
                  <c:v>0.13259309037229997</c:v>
                </c:pt>
                <c:pt idx="53">
                  <c:v>0.13229694336842276</c:v>
                </c:pt>
                <c:pt idx="54">
                  <c:v>0.1319189691083717</c:v>
                </c:pt>
                <c:pt idx="55">
                  <c:v>0.13146057826810378</c:v>
                </c:pt>
                <c:pt idx="56">
                  <c:v>0.13091177422880979</c:v>
                </c:pt>
                <c:pt idx="57">
                  <c:v>0.13028064283853588</c:v>
                </c:pt>
                <c:pt idx="58">
                  <c:v>0.12956962337720046</c:v>
                </c:pt>
                <c:pt idx="59">
                  <c:v>0.128764454333575</c:v>
                </c:pt>
                <c:pt idx="60">
                  <c:v>0.12787435158108376</c:v>
                </c:pt>
                <c:pt idx="61">
                  <c:v>0.12690028164478118</c:v>
                </c:pt>
                <c:pt idx="62">
                  <c:v>0.12583824066105875</c:v>
                </c:pt>
                <c:pt idx="63">
                  <c:v>0.12468768902414074</c:v>
                </c:pt>
                <c:pt idx="64">
                  <c:v>0.12344873931214136</c:v>
                </c:pt>
                <c:pt idx="65">
                  <c:v>0.12211707652655848</c:v>
                </c:pt>
                <c:pt idx="66">
                  <c:v>0.1206944801960511</c:v>
                </c:pt>
                <c:pt idx="67">
                  <c:v>0.1191834074794786</c:v>
                </c:pt>
                <c:pt idx="68">
                  <c:v>0.11757282089191808</c:v>
                </c:pt>
                <c:pt idx="69">
                  <c:v>0.11587223393149973</c:v>
                </c:pt>
                <c:pt idx="70">
                  <c:v>0.1140779319664878</c:v>
                </c:pt>
                <c:pt idx="71">
                  <c:v>0.11217932461272026</c:v>
                </c:pt>
                <c:pt idx="72">
                  <c:v>0.1101853065540274</c:v>
                </c:pt>
                <c:pt idx="73">
                  <c:v>0.10808932416879265</c:v>
                </c:pt>
                <c:pt idx="74">
                  <c:v>0.10589154564638192</c:v>
                </c:pt>
                <c:pt idx="75">
                  <c:v>0.10359069415639731</c:v>
                </c:pt>
                <c:pt idx="76">
                  <c:v>0.1011777841679378</c:v>
                </c:pt>
                <c:pt idx="77">
                  <c:v>0.09865514829753261</c:v>
                </c:pt>
                <c:pt idx="78">
                  <c:v>0.09602197502546812</c:v>
                </c:pt>
                <c:pt idx="79">
                  <c:v>0.09327281715930234</c:v>
                </c:pt>
                <c:pt idx="80">
                  <c:v>0.09040270734753655</c:v>
                </c:pt>
                <c:pt idx="81">
                  <c:v>0.0874111143130505</c:v>
                </c:pt>
                <c:pt idx="82">
                  <c:v>0.08429009651869108</c:v>
                </c:pt>
                <c:pt idx="83">
                  <c:v>0.08103562565371371</c:v>
                </c:pt>
                <c:pt idx="84">
                  <c:v>0.07764295758818604</c:v>
                </c:pt>
                <c:pt idx="85">
                  <c:v>0.07410855847241607</c:v>
                </c:pt>
                <c:pt idx="86">
                  <c:v>0.0704222650991394</c:v>
                </c:pt>
                <c:pt idx="87">
                  <c:v>0.06657503252429939</c:v>
                </c:pt>
                <c:pt idx="88">
                  <c:v>0.06256067184591865</c:v>
                </c:pt>
                <c:pt idx="89">
                  <c:v>0.058363974906994236</c:v>
                </c:pt>
                <c:pt idx="90">
                  <c:v>0.05397104530800481</c:v>
                </c:pt>
                <c:pt idx="91">
                  <c:v>0.04936910266716062</c:v>
                </c:pt>
                <c:pt idx="92">
                  <c:v>0.04453402301714288</c:v>
                </c:pt>
                <c:pt idx="93">
                  <c:v>0.03943339978215904</c:v>
                </c:pt>
                <c:pt idx="94">
                  <c:v>0.03402849226362134</c:v>
                </c:pt>
                <c:pt idx="95">
                  <c:v>0.028256182250473848</c:v>
                </c:pt>
                <c:pt idx="96">
                  <c:v>0.021997711777524378</c:v>
                </c:pt>
                <c:pt idx="97">
                  <c:v>0.014962700848163207</c:v>
                </c:pt>
                <c:pt idx="98">
                  <c:v>0.006110327509197062</c:v>
                </c:pt>
              </c:numCache>
            </c:numRef>
          </c:yVal>
          <c:smooth val="1"/>
        </c:ser>
        <c:axId val="18917790"/>
        <c:axId val="36042383"/>
      </c:scatterChart>
      <c:valAx>
        <c:axId val="18917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042383"/>
        <c:crosses val="autoZero"/>
        <c:crossBetween val="midCat"/>
        <c:dispUnits/>
      </c:valAx>
      <c:valAx>
        <c:axId val="360423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9177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11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Courier New"/>
          <a:ea typeface="Courier New"/>
          <a:cs typeface="Courier New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Probability Density</a:t>
            </a:r>
          </a:p>
        </c:rich>
      </c:tx>
      <c:layout>
        <c:manualLayout>
          <c:xMode val="factor"/>
          <c:yMode val="factor"/>
          <c:x val="-0.01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0895"/>
          <c:w val="0.88325"/>
          <c:h val="0.83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Fig1!$B$7:$B$105</c:f>
              <c:numCache>
                <c:ptCount val="99"/>
                <c:pt idx="0">
                  <c:v>15.5314613240771</c:v>
                </c:pt>
                <c:pt idx="1">
                  <c:v>16.75813320814632</c:v>
                </c:pt>
                <c:pt idx="2">
                  <c:v>17.53644694160903</c:v>
                </c:pt>
                <c:pt idx="3">
                  <c:v>18.121911418507807</c:v>
                </c:pt>
                <c:pt idx="4">
                  <c:v>18.598161497880938</c:v>
                </c:pt>
                <c:pt idx="5">
                  <c:v>19.003525560197886</c:v>
                </c:pt>
                <c:pt idx="6">
                  <c:v>19.35893789975671</c:v>
                </c:pt>
                <c:pt idx="7">
                  <c:v>19.677167822170304</c:v>
                </c:pt>
                <c:pt idx="8">
                  <c:v>19.96660541606252</c:v>
                </c:pt>
                <c:pt idx="9">
                  <c:v>20.23302142531611</c:v>
                </c:pt>
                <c:pt idx="10">
                  <c:v>20.480621126058395</c:v>
                </c:pt>
                <c:pt idx="11">
                  <c:v>20.71255591743102</c:v>
                </c:pt>
                <c:pt idx="12">
                  <c:v>20.931240507867187</c:v>
                </c:pt>
                <c:pt idx="13">
                  <c:v>21.138557551399572</c:v>
                </c:pt>
                <c:pt idx="14">
                  <c:v>21.33605205215281</c:v>
                </c:pt>
                <c:pt idx="15">
                  <c:v>21.524941596158897</c:v>
                </c:pt>
                <c:pt idx="16">
                  <c:v>21.706259596772725</c:v>
                </c:pt>
                <c:pt idx="17">
                  <c:v>21.880855294672074</c:v>
                </c:pt>
                <c:pt idx="18">
                  <c:v>22.04946538056538</c:v>
                </c:pt>
                <c:pt idx="19">
                  <c:v>22.21270376337634</c:v>
                </c:pt>
                <c:pt idx="20">
                  <c:v>22.37110249750549</c:v>
                </c:pt>
                <c:pt idx="21">
                  <c:v>22.525132246461</c:v>
                </c:pt>
                <c:pt idx="22">
                  <c:v>22.67519205104327</c:v>
                </c:pt>
                <c:pt idx="23">
                  <c:v>22.821640024791122</c:v>
                </c:pt>
                <c:pt idx="24">
                  <c:v>22.964793353981804</c:v>
                </c:pt>
                <c:pt idx="25">
                  <c:v>23.104948761261767</c:v>
                </c:pt>
                <c:pt idx="26">
                  <c:v>23.242341578385094</c:v>
                </c:pt>
                <c:pt idx="27">
                  <c:v>23.377217368921265</c:v>
                </c:pt>
                <c:pt idx="28">
                  <c:v>23.509770537362783</c:v>
                </c:pt>
                <c:pt idx="29">
                  <c:v>23.640195488202153</c:v>
                </c:pt>
                <c:pt idx="30">
                  <c:v>23.768676394116483</c:v>
                </c:pt>
                <c:pt idx="31">
                  <c:v>23.895356500521302</c:v>
                </c:pt>
                <c:pt idx="32">
                  <c:v>24.020389284647536</c:v>
                </c:pt>
                <c:pt idx="33">
                  <c:v>24.143917991910712</c:v>
                </c:pt>
                <c:pt idx="34">
                  <c:v>24.266055172280176</c:v>
                </c:pt>
                <c:pt idx="35">
                  <c:v>24.38693383935606</c:v>
                </c:pt>
                <c:pt idx="36">
                  <c:v>24.506656311292318</c:v>
                </c:pt>
                <c:pt idx="37">
                  <c:v>24.62533513805829</c:v>
                </c:pt>
                <c:pt idx="38">
                  <c:v>24.743062405992532</c:v>
                </c:pt>
                <c:pt idx="39">
                  <c:v>24.859940433248994</c:v>
                </c:pt>
                <c:pt idx="40">
                  <c:v>24.976045958443137</c:v>
                </c:pt>
                <c:pt idx="41">
                  <c:v>25.091476183821214</c:v>
                </c:pt>
                <c:pt idx="42">
                  <c:v>25.206318079814082</c:v>
                </c:pt>
                <c:pt idx="43">
                  <c:v>25.320638153221807</c:v>
                </c:pt>
                <c:pt idx="44">
                  <c:v>25.434523374475248</c:v>
                </c:pt>
                <c:pt idx="45">
                  <c:v>25.548050482189865</c:v>
                </c:pt>
                <c:pt idx="46">
                  <c:v>25.661285983165726</c:v>
                </c:pt>
                <c:pt idx="47">
                  <c:v>25.774306616018293</c:v>
                </c:pt>
                <c:pt idx="48">
                  <c:v>25.88718911936303</c:v>
                </c:pt>
                <c:pt idx="49">
                  <c:v>26</c:v>
                </c:pt>
                <c:pt idx="50">
                  <c:v>26.11281088063697</c:v>
                </c:pt>
                <c:pt idx="51">
                  <c:v>26.225693383981707</c:v>
                </c:pt>
                <c:pt idx="52">
                  <c:v>26.338714016834274</c:v>
                </c:pt>
                <c:pt idx="53">
                  <c:v>26.451949517810135</c:v>
                </c:pt>
                <c:pt idx="54">
                  <c:v>26.565476625524752</c:v>
                </c:pt>
                <c:pt idx="55">
                  <c:v>26.679361846778193</c:v>
                </c:pt>
                <c:pt idx="56">
                  <c:v>26.793681920185918</c:v>
                </c:pt>
                <c:pt idx="57">
                  <c:v>26.908523816178786</c:v>
                </c:pt>
                <c:pt idx="58">
                  <c:v>27.023954041556863</c:v>
                </c:pt>
                <c:pt idx="59">
                  <c:v>27.140059566751006</c:v>
                </c:pt>
                <c:pt idx="60">
                  <c:v>27.256937594007468</c:v>
                </c:pt>
                <c:pt idx="61">
                  <c:v>27.37466486194171</c:v>
                </c:pt>
                <c:pt idx="62">
                  <c:v>27.493343688707682</c:v>
                </c:pt>
                <c:pt idx="63">
                  <c:v>27.61306616064394</c:v>
                </c:pt>
                <c:pt idx="64">
                  <c:v>27.733944827719824</c:v>
                </c:pt>
                <c:pt idx="65">
                  <c:v>27.856082008089288</c:v>
                </c:pt>
                <c:pt idx="66">
                  <c:v>27.979610715352464</c:v>
                </c:pt>
                <c:pt idx="67">
                  <c:v>28.104643499478698</c:v>
                </c:pt>
                <c:pt idx="68">
                  <c:v>28.231323605883517</c:v>
                </c:pt>
                <c:pt idx="69">
                  <c:v>28.359804511797847</c:v>
                </c:pt>
                <c:pt idx="70">
                  <c:v>28.490229462637217</c:v>
                </c:pt>
                <c:pt idx="71">
                  <c:v>28.622782631078735</c:v>
                </c:pt>
                <c:pt idx="72">
                  <c:v>28.757658421614906</c:v>
                </c:pt>
                <c:pt idx="73">
                  <c:v>28.895051238738233</c:v>
                </c:pt>
                <c:pt idx="74">
                  <c:v>29.035206646018196</c:v>
                </c:pt>
                <c:pt idx="75">
                  <c:v>29.178359975208878</c:v>
                </c:pt>
                <c:pt idx="76">
                  <c:v>29.32480794895673</c:v>
                </c:pt>
                <c:pt idx="77">
                  <c:v>29.474867753539</c:v>
                </c:pt>
                <c:pt idx="78">
                  <c:v>29.62889750249451</c:v>
                </c:pt>
                <c:pt idx="79">
                  <c:v>29.78729623662366</c:v>
                </c:pt>
                <c:pt idx="80">
                  <c:v>29.95053461943462</c:v>
                </c:pt>
                <c:pt idx="81">
                  <c:v>30.119144705327926</c:v>
                </c:pt>
                <c:pt idx="82">
                  <c:v>30.293740403227275</c:v>
                </c:pt>
                <c:pt idx="83">
                  <c:v>30.475058403841103</c:v>
                </c:pt>
                <c:pt idx="84">
                  <c:v>30.66394794784719</c:v>
                </c:pt>
                <c:pt idx="85">
                  <c:v>30.861442448600428</c:v>
                </c:pt>
                <c:pt idx="86">
                  <c:v>31.068759492132813</c:v>
                </c:pt>
                <c:pt idx="87">
                  <c:v>31.28744408256898</c:v>
                </c:pt>
                <c:pt idx="88">
                  <c:v>31.519378873941605</c:v>
                </c:pt>
                <c:pt idx="89">
                  <c:v>31.76697857468389</c:v>
                </c:pt>
                <c:pt idx="90">
                  <c:v>32.03339458393748</c:v>
                </c:pt>
                <c:pt idx="91">
                  <c:v>32.322832177829696</c:v>
                </c:pt>
                <c:pt idx="92">
                  <c:v>32.64106210024329</c:v>
                </c:pt>
                <c:pt idx="93">
                  <c:v>32.996474439802114</c:v>
                </c:pt>
                <c:pt idx="94">
                  <c:v>33.40183850211906</c:v>
                </c:pt>
                <c:pt idx="95">
                  <c:v>33.87808858149219</c:v>
                </c:pt>
                <c:pt idx="96">
                  <c:v>34.46355305839097</c:v>
                </c:pt>
                <c:pt idx="97">
                  <c:v>35.24186679185368</c:v>
                </c:pt>
                <c:pt idx="98">
                  <c:v>36.4685386759229</c:v>
                </c:pt>
              </c:numCache>
            </c:numRef>
          </c:xVal>
          <c:yVal>
            <c:numRef>
              <c:f>Fig1!$C$7:$C$105</c:f>
              <c:numCache>
                <c:ptCount val="99"/>
                <c:pt idx="0">
                  <c:v>0.004073551672798038</c:v>
                </c:pt>
                <c:pt idx="1">
                  <c:v>0.009975133898775461</c:v>
                </c:pt>
                <c:pt idx="2">
                  <c:v>0.01466514118501624</c:v>
                </c:pt>
                <c:pt idx="3">
                  <c:v>0.01883745483364922</c:v>
                </c:pt>
                <c:pt idx="4">
                  <c:v>0.02268566150908087</c:v>
                </c:pt>
                <c:pt idx="5">
                  <c:v>0.026288933188106153</c:v>
                </c:pt>
                <c:pt idx="6">
                  <c:v>0.029689348678095397</c:v>
                </c:pt>
                <c:pt idx="7">
                  <c:v>0.03291273511144037</c:v>
                </c:pt>
                <c:pt idx="8">
                  <c:v>0.035980696872003184</c:v>
                </c:pt>
                <c:pt idx="9">
                  <c:v>0.03890931660466279</c:v>
                </c:pt>
                <c:pt idx="10">
                  <c:v>0.041707114563945706</c:v>
                </c:pt>
                <c:pt idx="11">
                  <c:v>0.04438335501619956</c:v>
                </c:pt>
                <c:pt idx="12">
                  <c:v>0.046948176732759604</c:v>
                </c:pt>
                <c:pt idx="13">
                  <c:v>0.04940570564827731</c:v>
                </c:pt>
                <c:pt idx="14">
                  <c:v>0.05176197172545729</c:v>
                </c:pt>
                <c:pt idx="15">
                  <c:v>0.054023750435809134</c:v>
                </c:pt>
                <c:pt idx="16">
                  <c:v>0.05619339767912731</c:v>
                </c:pt>
                <c:pt idx="17">
                  <c:v>0.05827407620870058</c:v>
                </c:pt>
                <c:pt idx="18">
                  <c:v>0.060268471565024705</c:v>
                </c:pt>
                <c:pt idx="19">
                  <c:v>0.06218187810620148</c:v>
                </c:pt>
                <c:pt idx="20">
                  <c:v>0.06401465001697866</c:v>
                </c:pt>
                <c:pt idx="21">
                  <c:v>0.06577009886502175</c:v>
                </c:pt>
                <c:pt idx="22">
                  <c:v>0.06745185611195843</c:v>
                </c:pt>
                <c:pt idx="23">
                  <c:v>0.06906046277093143</c:v>
                </c:pt>
                <c:pt idx="24">
                  <c:v>0.07059436376425463</c:v>
                </c:pt>
                <c:pt idx="25">
                  <c:v>0.07205954944586176</c:v>
                </c:pt>
                <c:pt idx="26">
                  <c:v>0.07345687103601826</c:v>
                </c:pt>
                <c:pt idx="27">
                  <c:v>0.07478621640847996</c:v>
                </c:pt>
                <c:pt idx="28">
                  <c:v>0.07605195464432499</c:v>
                </c:pt>
                <c:pt idx="29">
                  <c:v>0.07724815595433315</c:v>
                </c:pt>
                <c:pt idx="30">
                  <c:v>0.07838188059461249</c:v>
                </c:pt>
                <c:pt idx="31">
                  <c:v>0.07945560498631951</c:v>
                </c:pt>
                <c:pt idx="32">
                  <c:v>0.0804629867973674</c:v>
                </c:pt>
                <c:pt idx="33">
                  <c:v>0.08141138435103877</c:v>
                </c:pt>
                <c:pt idx="34">
                  <c:v>0.08229915954142734</c:v>
                </c:pt>
                <c:pt idx="35">
                  <c:v>0.08312512601609381</c:v>
                </c:pt>
                <c:pt idx="36">
                  <c:v>0.08389216044070584</c:v>
                </c:pt>
                <c:pt idx="37">
                  <c:v>0.08460018776318745</c:v>
                </c:pt>
                <c:pt idx="38">
                  <c:v>0.0852495677207225</c:v>
                </c:pt>
                <c:pt idx="39">
                  <c:v>0.08584296955571642</c:v>
                </c:pt>
                <c:pt idx="40">
                  <c:v>0.08637974891813341</c:v>
                </c:pt>
                <c:pt idx="41">
                  <c:v>0.08685376189235726</c:v>
                </c:pt>
                <c:pt idx="42">
                  <c:v>0.08727451615254035</c:v>
                </c:pt>
                <c:pt idx="43">
                  <c:v>0.08764038551206968</c:v>
                </c:pt>
                <c:pt idx="44">
                  <c:v>0.08794597940558113</c:v>
                </c:pt>
                <c:pt idx="45">
                  <c:v>0.08819796224561492</c:v>
                </c:pt>
                <c:pt idx="46">
                  <c:v>0.08839539358153307</c:v>
                </c:pt>
                <c:pt idx="47">
                  <c:v>0.08853352076764483</c:v>
                </c:pt>
                <c:pt idx="48">
                  <c:v>0.08861580099140658</c:v>
                </c:pt>
                <c:pt idx="49">
                  <c:v>0.08864393171595149</c:v>
                </c:pt>
                <c:pt idx="50">
                  <c:v>0.08861580099140658</c:v>
                </c:pt>
                <c:pt idx="51">
                  <c:v>0.08853352076764483</c:v>
                </c:pt>
                <c:pt idx="52">
                  <c:v>0.08839539358153331</c:v>
                </c:pt>
                <c:pt idx="53">
                  <c:v>0.08819796224561517</c:v>
                </c:pt>
                <c:pt idx="54">
                  <c:v>0.08794597940558113</c:v>
                </c:pt>
                <c:pt idx="55">
                  <c:v>0.0876403855120692</c:v>
                </c:pt>
                <c:pt idx="56">
                  <c:v>0.08727451615253987</c:v>
                </c:pt>
                <c:pt idx="57">
                  <c:v>0.08685376189235726</c:v>
                </c:pt>
                <c:pt idx="58">
                  <c:v>0.08637974891813364</c:v>
                </c:pt>
                <c:pt idx="59">
                  <c:v>0.08584296955571666</c:v>
                </c:pt>
                <c:pt idx="60">
                  <c:v>0.0852495677207225</c:v>
                </c:pt>
                <c:pt idx="61">
                  <c:v>0.08460018776318745</c:v>
                </c:pt>
                <c:pt idx="62">
                  <c:v>0.08389216044070584</c:v>
                </c:pt>
                <c:pt idx="63">
                  <c:v>0.08312512601609381</c:v>
                </c:pt>
                <c:pt idx="64">
                  <c:v>0.08229915954142757</c:v>
                </c:pt>
                <c:pt idx="65">
                  <c:v>0.08141138435103899</c:v>
                </c:pt>
                <c:pt idx="66">
                  <c:v>0.0804629867973674</c:v>
                </c:pt>
                <c:pt idx="67">
                  <c:v>0.07945560498631907</c:v>
                </c:pt>
                <c:pt idx="68">
                  <c:v>0.07838188059461206</c:v>
                </c:pt>
                <c:pt idx="69">
                  <c:v>0.07724815595433315</c:v>
                </c:pt>
                <c:pt idx="70">
                  <c:v>0.0760519546443252</c:v>
                </c:pt>
                <c:pt idx="71">
                  <c:v>0.07478621640848017</c:v>
                </c:pt>
                <c:pt idx="72">
                  <c:v>0.07345687103601826</c:v>
                </c:pt>
                <c:pt idx="73">
                  <c:v>0.07205954944586176</c:v>
                </c:pt>
                <c:pt idx="74">
                  <c:v>0.07059436376425463</c:v>
                </c:pt>
                <c:pt idx="75">
                  <c:v>0.06906046277093153</c:v>
                </c:pt>
                <c:pt idx="76">
                  <c:v>0.06745185611195853</c:v>
                </c:pt>
                <c:pt idx="77">
                  <c:v>0.06577009886502175</c:v>
                </c:pt>
                <c:pt idx="78">
                  <c:v>0.06401465001697876</c:v>
                </c:pt>
                <c:pt idx="79">
                  <c:v>0.062181878106201564</c:v>
                </c:pt>
                <c:pt idx="80">
                  <c:v>0.060268471565024365</c:v>
                </c:pt>
                <c:pt idx="81">
                  <c:v>0.058274076208700336</c:v>
                </c:pt>
                <c:pt idx="82">
                  <c:v>0.056193397679127385</c:v>
                </c:pt>
                <c:pt idx="83">
                  <c:v>0.054023750435809134</c:v>
                </c:pt>
                <c:pt idx="84">
                  <c:v>0.05176197172545736</c:v>
                </c:pt>
                <c:pt idx="85">
                  <c:v>0.04940570564827738</c:v>
                </c:pt>
                <c:pt idx="86">
                  <c:v>0.046948176732759604</c:v>
                </c:pt>
                <c:pt idx="87">
                  <c:v>0.04438335501619959</c:v>
                </c:pt>
                <c:pt idx="88">
                  <c:v>0.04170711456394577</c:v>
                </c:pt>
                <c:pt idx="89">
                  <c:v>0.03890931660466282</c:v>
                </c:pt>
                <c:pt idx="90">
                  <c:v>0.035980696872003205</c:v>
                </c:pt>
                <c:pt idx="91">
                  <c:v>0.03291273511144041</c:v>
                </c:pt>
                <c:pt idx="92">
                  <c:v>0.029689348678095254</c:v>
                </c:pt>
                <c:pt idx="93">
                  <c:v>0.026288933188106024</c:v>
                </c:pt>
                <c:pt idx="94">
                  <c:v>0.022685661509080895</c:v>
                </c:pt>
                <c:pt idx="95">
                  <c:v>0.018837454833649233</c:v>
                </c:pt>
                <c:pt idx="96">
                  <c:v>0.014665141185016252</c:v>
                </c:pt>
                <c:pt idx="97">
                  <c:v>0.009975133898775471</c:v>
                </c:pt>
                <c:pt idx="98">
                  <c:v>0.004073551672798041</c:v>
                </c:pt>
              </c:numCache>
            </c:numRef>
          </c:yVal>
          <c:smooth val="1"/>
        </c:ser>
        <c:axId val="24336464"/>
        <c:axId val="17701585"/>
      </c:scatterChart>
      <c:valAx>
        <c:axId val="2433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01585"/>
        <c:crosses val="autoZero"/>
        <c:crossBetween val="midCat"/>
        <c:dispUnits/>
      </c:valAx>
      <c:valAx>
        <c:axId val="17701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Probability density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.000" sourceLinked="0"/>
        <c:majorTickMark val="in"/>
        <c:minorTickMark val="none"/>
        <c:tickLblPos val="nextTo"/>
        <c:crossAx val="243364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Cumulative Distribution</a:t>
            </a:r>
          </a:p>
        </c:rich>
      </c:tx>
      <c:layout>
        <c:manualLayout>
          <c:xMode val="factor"/>
          <c:yMode val="factor"/>
          <c:x val="-0.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1975"/>
          <c:w val="0.88875"/>
          <c:h val="0.787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Fig1!$B$7:$B$105</c:f>
              <c:numCache>
                <c:ptCount val="99"/>
                <c:pt idx="0">
                  <c:v>15.5314613240771</c:v>
                </c:pt>
                <c:pt idx="1">
                  <c:v>16.75813320814632</c:v>
                </c:pt>
                <c:pt idx="2">
                  <c:v>17.53644694160903</c:v>
                </c:pt>
                <c:pt idx="3">
                  <c:v>18.121911418507807</c:v>
                </c:pt>
                <c:pt idx="4">
                  <c:v>18.598161497880938</c:v>
                </c:pt>
                <c:pt idx="5">
                  <c:v>19.003525560197886</c:v>
                </c:pt>
                <c:pt idx="6">
                  <c:v>19.35893789975671</c:v>
                </c:pt>
                <c:pt idx="7">
                  <c:v>19.677167822170304</c:v>
                </c:pt>
                <c:pt idx="8">
                  <c:v>19.96660541606252</c:v>
                </c:pt>
                <c:pt idx="9">
                  <c:v>20.23302142531611</c:v>
                </c:pt>
                <c:pt idx="10">
                  <c:v>20.480621126058395</c:v>
                </c:pt>
                <c:pt idx="11">
                  <c:v>20.71255591743102</c:v>
                </c:pt>
                <c:pt idx="12">
                  <c:v>20.931240507867187</c:v>
                </c:pt>
                <c:pt idx="13">
                  <c:v>21.138557551399572</c:v>
                </c:pt>
                <c:pt idx="14">
                  <c:v>21.33605205215281</c:v>
                </c:pt>
                <c:pt idx="15">
                  <c:v>21.524941596158897</c:v>
                </c:pt>
                <c:pt idx="16">
                  <c:v>21.706259596772725</c:v>
                </c:pt>
                <c:pt idx="17">
                  <c:v>21.880855294672074</c:v>
                </c:pt>
                <c:pt idx="18">
                  <c:v>22.04946538056538</c:v>
                </c:pt>
                <c:pt idx="19">
                  <c:v>22.21270376337634</c:v>
                </c:pt>
                <c:pt idx="20">
                  <c:v>22.37110249750549</c:v>
                </c:pt>
                <c:pt idx="21">
                  <c:v>22.525132246461</c:v>
                </c:pt>
                <c:pt idx="22">
                  <c:v>22.67519205104327</c:v>
                </c:pt>
                <c:pt idx="23">
                  <c:v>22.821640024791122</c:v>
                </c:pt>
                <c:pt idx="24">
                  <c:v>22.964793353981804</c:v>
                </c:pt>
                <c:pt idx="25">
                  <c:v>23.104948761261767</c:v>
                </c:pt>
                <c:pt idx="26">
                  <c:v>23.242341578385094</c:v>
                </c:pt>
                <c:pt idx="27">
                  <c:v>23.377217368921265</c:v>
                </c:pt>
                <c:pt idx="28">
                  <c:v>23.509770537362783</c:v>
                </c:pt>
                <c:pt idx="29">
                  <c:v>23.640195488202153</c:v>
                </c:pt>
                <c:pt idx="30">
                  <c:v>23.768676394116483</c:v>
                </c:pt>
                <c:pt idx="31">
                  <c:v>23.895356500521302</c:v>
                </c:pt>
                <c:pt idx="32">
                  <c:v>24.020389284647536</c:v>
                </c:pt>
                <c:pt idx="33">
                  <c:v>24.143917991910712</c:v>
                </c:pt>
                <c:pt idx="34">
                  <c:v>24.266055172280176</c:v>
                </c:pt>
                <c:pt idx="35">
                  <c:v>24.38693383935606</c:v>
                </c:pt>
                <c:pt idx="36">
                  <c:v>24.506656311292318</c:v>
                </c:pt>
                <c:pt idx="37">
                  <c:v>24.62533513805829</c:v>
                </c:pt>
                <c:pt idx="38">
                  <c:v>24.743062405992532</c:v>
                </c:pt>
                <c:pt idx="39">
                  <c:v>24.859940433248994</c:v>
                </c:pt>
                <c:pt idx="40">
                  <c:v>24.976045958443137</c:v>
                </c:pt>
                <c:pt idx="41">
                  <c:v>25.091476183821214</c:v>
                </c:pt>
                <c:pt idx="42">
                  <c:v>25.206318079814082</c:v>
                </c:pt>
                <c:pt idx="43">
                  <c:v>25.320638153221807</c:v>
                </c:pt>
                <c:pt idx="44">
                  <c:v>25.434523374475248</c:v>
                </c:pt>
                <c:pt idx="45">
                  <c:v>25.548050482189865</c:v>
                </c:pt>
                <c:pt idx="46">
                  <c:v>25.661285983165726</c:v>
                </c:pt>
                <c:pt idx="47">
                  <c:v>25.774306616018293</c:v>
                </c:pt>
                <c:pt idx="48">
                  <c:v>25.88718911936303</c:v>
                </c:pt>
                <c:pt idx="49">
                  <c:v>26</c:v>
                </c:pt>
                <c:pt idx="50">
                  <c:v>26.11281088063697</c:v>
                </c:pt>
                <c:pt idx="51">
                  <c:v>26.225693383981707</c:v>
                </c:pt>
                <c:pt idx="52">
                  <c:v>26.338714016834274</c:v>
                </c:pt>
                <c:pt idx="53">
                  <c:v>26.451949517810135</c:v>
                </c:pt>
                <c:pt idx="54">
                  <c:v>26.565476625524752</c:v>
                </c:pt>
                <c:pt idx="55">
                  <c:v>26.679361846778193</c:v>
                </c:pt>
                <c:pt idx="56">
                  <c:v>26.793681920185918</c:v>
                </c:pt>
                <c:pt idx="57">
                  <c:v>26.908523816178786</c:v>
                </c:pt>
                <c:pt idx="58">
                  <c:v>27.023954041556863</c:v>
                </c:pt>
                <c:pt idx="59">
                  <c:v>27.140059566751006</c:v>
                </c:pt>
                <c:pt idx="60">
                  <c:v>27.256937594007468</c:v>
                </c:pt>
                <c:pt idx="61">
                  <c:v>27.37466486194171</c:v>
                </c:pt>
                <c:pt idx="62">
                  <c:v>27.493343688707682</c:v>
                </c:pt>
                <c:pt idx="63">
                  <c:v>27.61306616064394</c:v>
                </c:pt>
                <c:pt idx="64">
                  <c:v>27.733944827719824</c:v>
                </c:pt>
                <c:pt idx="65">
                  <c:v>27.856082008089288</c:v>
                </c:pt>
                <c:pt idx="66">
                  <c:v>27.979610715352464</c:v>
                </c:pt>
                <c:pt idx="67">
                  <c:v>28.104643499478698</c:v>
                </c:pt>
                <c:pt idx="68">
                  <c:v>28.231323605883517</c:v>
                </c:pt>
                <c:pt idx="69">
                  <c:v>28.359804511797847</c:v>
                </c:pt>
                <c:pt idx="70">
                  <c:v>28.490229462637217</c:v>
                </c:pt>
                <c:pt idx="71">
                  <c:v>28.622782631078735</c:v>
                </c:pt>
                <c:pt idx="72">
                  <c:v>28.757658421614906</c:v>
                </c:pt>
                <c:pt idx="73">
                  <c:v>28.895051238738233</c:v>
                </c:pt>
                <c:pt idx="74">
                  <c:v>29.035206646018196</c:v>
                </c:pt>
                <c:pt idx="75">
                  <c:v>29.178359975208878</c:v>
                </c:pt>
                <c:pt idx="76">
                  <c:v>29.32480794895673</c:v>
                </c:pt>
                <c:pt idx="77">
                  <c:v>29.474867753539</c:v>
                </c:pt>
                <c:pt idx="78">
                  <c:v>29.62889750249451</c:v>
                </c:pt>
                <c:pt idx="79">
                  <c:v>29.78729623662366</c:v>
                </c:pt>
                <c:pt idx="80">
                  <c:v>29.95053461943462</c:v>
                </c:pt>
                <c:pt idx="81">
                  <c:v>30.119144705327926</c:v>
                </c:pt>
                <c:pt idx="82">
                  <c:v>30.293740403227275</c:v>
                </c:pt>
                <c:pt idx="83">
                  <c:v>30.475058403841103</c:v>
                </c:pt>
                <c:pt idx="84">
                  <c:v>30.66394794784719</c:v>
                </c:pt>
                <c:pt idx="85">
                  <c:v>30.861442448600428</c:v>
                </c:pt>
                <c:pt idx="86">
                  <c:v>31.068759492132813</c:v>
                </c:pt>
                <c:pt idx="87">
                  <c:v>31.28744408256898</c:v>
                </c:pt>
                <c:pt idx="88">
                  <c:v>31.519378873941605</c:v>
                </c:pt>
                <c:pt idx="89">
                  <c:v>31.76697857468389</c:v>
                </c:pt>
                <c:pt idx="90">
                  <c:v>32.03339458393748</c:v>
                </c:pt>
                <c:pt idx="91">
                  <c:v>32.322832177829696</c:v>
                </c:pt>
                <c:pt idx="92">
                  <c:v>32.64106210024329</c:v>
                </c:pt>
                <c:pt idx="93">
                  <c:v>32.996474439802114</c:v>
                </c:pt>
                <c:pt idx="94">
                  <c:v>33.40183850211906</c:v>
                </c:pt>
                <c:pt idx="95">
                  <c:v>33.87808858149219</c:v>
                </c:pt>
                <c:pt idx="96">
                  <c:v>34.46355305839097</c:v>
                </c:pt>
                <c:pt idx="97">
                  <c:v>35.24186679185368</c:v>
                </c:pt>
                <c:pt idx="98">
                  <c:v>36.4685386759229</c:v>
                </c:pt>
              </c:numCache>
            </c:numRef>
          </c:xVal>
          <c:yVal>
            <c:numRef>
              <c:f>Fig1!$A$7:$A$105</c:f>
              <c:numCach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</c:numCache>
            </c:numRef>
          </c:yVal>
          <c:smooth val="1"/>
        </c:ser>
        <c:axId val="25096538"/>
        <c:axId val="24542251"/>
      </c:scatterChart>
      <c:valAx>
        <c:axId val="2509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42251"/>
        <c:crosses val="autoZero"/>
        <c:crossBetween val="midCat"/>
        <c:dispUnits/>
      </c:valAx>
      <c:valAx>
        <c:axId val="245422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.0" sourceLinked="0"/>
        <c:majorTickMark val="in"/>
        <c:minorTickMark val="none"/>
        <c:tickLblPos val="nextTo"/>
        <c:crossAx val="25096538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"/>
          <c:w val="0.812"/>
          <c:h val="0.921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Figs2and3!$A$42:$A$66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Figs2and3!$B$42:$B$66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19553668"/>
        <c:axId val="41765285"/>
      </c:scatterChart>
      <c:valAx>
        <c:axId val="19553668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765285"/>
        <c:crosses val="autoZero"/>
        <c:crossBetween val="midCat"/>
        <c:dispUnits/>
        <c:majorUnit val="1"/>
      </c:valAx>
      <c:valAx>
        <c:axId val="4176528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EXP(r)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5366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"/>
          <c:w val="0.91"/>
          <c:h val="0.911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Figs2and3!$B$42:$B$66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Figs2and3!$C$42:$C$66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40343246"/>
        <c:axId val="27544895"/>
      </c:scatterChart>
      <c:valAx>
        <c:axId val="40343246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544895"/>
        <c:crosses val="autoZero"/>
        <c:crossBetween val="midCat"/>
        <c:dispUnits/>
        <c:majorUnit val="5"/>
      </c:valAx>
      <c:valAx>
        <c:axId val="27544895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LN(x)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343246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045"/>
          <c:w val="0.9745"/>
          <c:h val="0.99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Fig4!$C$7:$C$107</c:f>
              <c:numCache>
                <c:ptCount val="101"/>
                <c:pt idx="0">
                  <c:v>1000</c:v>
                </c:pt>
                <c:pt idx="1">
                  <c:v>1100</c:v>
                </c:pt>
                <c:pt idx="2">
                  <c:v>1210</c:v>
                </c:pt>
                <c:pt idx="3">
                  <c:v>1119.25</c:v>
                </c:pt>
                <c:pt idx="4">
                  <c:v>1035.30625</c:v>
                </c:pt>
                <c:pt idx="5">
                  <c:v>957.6582812500002</c:v>
                </c:pt>
                <c:pt idx="6">
                  <c:v>885.8339101562502</c:v>
                </c:pt>
                <c:pt idx="7">
                  <c:v>819.3963668945315</c:v>
                </c:pt>
                <c:pt idx="8">
                  <c:v>757.9416393774417</c:v>
                </c:pt>
                <c:pt idx="9">
                  <c:v>833.7358033151859</c:v>
                </c:pt>
                <c:pt idx="10">
                  <c:v>917.1093836467045</c:v>
                </c:pt>
                <c:pt idx="11">
                  <c:v>848.3261798732017</c:v>
                </c:pt>
                <c:pt idx="12">
                  <c:v>784.7017163827115</c:v>
                </c:pt>
                <c:pt idx="13">
                  <c:v>863.1718880209828</c:v>
                </c:pt>
                <c:pt idx="14">
                  <c:v>798.4339964194091</c:v>
                </c:pt>
                <c:pt idx="15">
                  <c:v>738.5514466879534</c:v>
                </c:pt>
                <c:pt idx="16">
                  <c:v>812.4065913567489</c:v>
                </c:pt>
                <c:pt idx="17">
                  <c:v>751.4760970049928</c:v>
                </c:pt>
                <c:pt idx="18">
                  <c:v>695.1153897296183</c:v>
                </c:pt>
                <c:pt idx="19">
                  <c:v>642.981735499897</c:v>
                </c:pt>
                <c:pt idx="20">
                  <c:v>707.2799090498868</c:v>
                </c:pt>
                <c:pt idx="21">
                  <c:v>654.2339158711453</c:v>
                </c:pt>
                <c:pt idx="22">
                  <c:v>719.6573074582599</c:v>
                </c:pt>
                <c:pt idx="23">
                  <c:v>791.6230382040859</c:v>
                </c:pt>
                <c:pt idx="24">
                  <c:v>732.2513103387795</c:v>
                </c:pt>
                <c:pt idx="25">
                  <c:v>677.332462063371</c:v>
                </c:pt>
                <c:pt idx="26">
                  <c:v>745.0657082697082</c:v>
                </c:pt>
                <c:pt idx="27">
                  <c:v>819.5722790966792</c:v>
                </c:pt>
                <c:pt idx="28">
                  <c:v>758.1043581644283</c:v>
                </c:pt>
                <c:pt idx="29">
                  <c:v>833.9147939808712</c:v>
                </c:pt>
                <c:pt idx="30">
                  <c:v>917.3062733789584</c:v>
                </c:pt>
                <c:pt idx="31">
                  <c:v>1009.0369007168543</c:v>
                </c:pt>
                <c:pt idx="32">
                  <c:v>1109.9405907885398</c:v>
                </c:pt>
                <c:pt idx="33">
                  <c:v>1026.6950464793993</c:v>
                </c:pt>
                <c:pt idx="34">
                  <c:v>1129.3645511273394</c:v>
                </c:pt>
                <c:pt idx="35">
                  <c:v>1242.3010062400733</c:v>
                </c:pt>
                <c:pt idx="36">
                  <c:v>1149.128430772068</c:v>
                </c:pt>
                <c:pt idx="37">
                  <c:v>1264.0412738492748</c:v>
                </c:pt>
                <c:pt idx="38">
                  <c:v>1390.4454012342023</c:v>
                </c:pt>
                <c:pt idx="39">
                  <c:v>1286.1619961416372</c:v>
                </c:pt>
                <c:pt idx="40">
                  <c:v>1414.778195755801</c:v>
                </c:pt>
                <c:pt idx="41">
                  <c:v>1308.669831074116</c:v>
                </c:pt>
                <c:pt idx="42">
                  <c:v>1439.5368141815277</c:v>
                </c:pt>
                <c:pt idx="43">
                  <c:v>1331.5715531179133</c:v>
                </c:pt>
                <c:pt idx="44">
                  <c:v>1464.7287084297047</c:v>
                </c:pt>
                <c:pt idx="45">
                  <c:v>1611.2015792726754</c:v>
                </c:pt>
                <c:pt idx="46">
                  <c:v>1490.3614608272248</c:v>
                </c:pt>
                <c:pt idx="47">
                  <c:v>1639.3976069099474</c:v>
                </c:pt>
                <c:pt idx="48">
                  <c:v>1803.3373676009423</c:v>
                </c:pt>
                <c:pt idx="49">
                  <c:v>1668.0870650308718</c:v>
                </c:pt>
                <c:pt idx="50">
                  <c:v>1834.895771533959</c:v>
                </c:pt>
                <c:pt idx="51">
                  <c:v>2018.3853486873552</c:v>
                </c:pt>
                <c:pt idx="52">
                  <c:v>1867.0064475358035</c:v>
                </c:pt>
                <c:pt idx="53">
                  <c:v>2053.707092289384</c:v>
                </c:pt>
                <c:pt idx="54">
                  <c:v>1899.6790603676802</c:v>
                </c:pt>
                <c:pt idx="55">
                  <c:v>1757.2031308401042</c:v>
                </c:pt>
                <c:pt idx="56">
                  <c:v>1625.4128960270964</c:v>
                </c:pt>
                <c:pt idx="57">
                  <c:v>1787.9541856298063</c:v>
                </c:pt>
                <c:pt idx="58">
                  <c:v>1966.749604192787</c:v>
                </c:pt>
                <c:pt idx="59">
                  <c:v>2163.4245646120658</c:v>
                </c:pt>
                <c:pt idx="60">
                  <c:v>2379.7670210732726</c:v>
                </c:pt>
                <c:pt idx="61">
                  <c:v>2201.2844944927774</c:v>
                </c:pt>
                <c:pt idx="62">
                  <c:v>2421.4129439420553</c:v>
                </c:pt>
                <c:pt idx="63">
                  <c:v>2663.5542383362613</c:v>
                </c:pt>
                <c:pt idx="64">
                  <c:v>2929.9096621698877</c:v>
                </c:pt>
                <c:pt idx="65">
                  <c:v>2710.1664375071464</c:v>
                </c:pt>
                <c:pt idx="66">
                  <c:v>2981.1830812578614</c:v>
                </c:pt>
                <c:pt idx="67">
                  <c:v>2757.594350163522</c:v>
                </c:pt>
                <c:pt idx="68">
                  <c:v>2550.774773901258</c:v>
                </c:pt>
                <c:pt idx="69">
                  <c:v>2805.852251291384</c:v>
                </c:pt>
                <c:pt idx="70">
                  <c:v>2595.4133324445306</c:v>
                </c:pt>
                <c:pt idx="71">
                  <c:v>2854.954665688984</c:v>
                </c:pt>
                <c:pt idx="72">
                  <c:v>3140.4501322578826</c:v>
                </c:pt>
                <c:pt idx="73">
                  <c:v>3454.495145483671</c:v>
                </c:pt>
                <c:pt idx="74">
                  <c:v>3799.9446600320384</c:v>
                </c:pt>
                <c:pt idx="75">
                  <c:v>4179.939126035242</c:v>
                </c:pt>
                <c:pt idx="76">
                  <c:v>4597.933038638766</c:v>
                </c:pt>
                <c:pt idx="77">
                  <c:v>5057.726342502643</c:v>
                </c:pt>
                <c:pt idx="78">
                  <c:v>4678.3968668149455</c:v>
                </c:pt>
                <c:pt idx="79">
                  <c:v>5146.23655349644</c:v>
                </c:pt>
                <c:pt idx="80">
                  <c:v>4760.268811984208</c:v>
                </c:pt>
                <c:pt idx="81">
                  <c:v>5236.295693182629</c:v>
                </c:pt>
                <c:pt idx="82">
                  <c:v>4843.573516193932</c:v>
                </c:pt>
                <c:pt idx="83">
                  <c:v>4480.3055024793875</c:v>
                </c:pt>
                <c:pt idx="84">
                  <c:v>4928.336052727327</c:v>
                </c:pt>
                <c:pt idx="85">
                  <c:v>4558.710848772777</c:v>
                </c:pt>
                <c:pt idx="86">
                  <c:v>5014.581933650055</c:v>
                </c:pt>
                <c:pt idx="87">
                  <c:v>5516.040127015061</c:v>
                </c:pt>
                <c:pt idx="88">
                  <c:v>6067.644139716568</c:v>
                </c:pt>
                <c:pt idx="89">
                  <c:v>6674.408553688226</c:v>
                </c:pt>
                <c:pt idx="90">
                  <c:v>6173.827912161609</c:v>
                </c:pt>
                <c:pt idx="91">
                  <c:v>5710.790818749489</c:v>
                </c:pt>
                <c:pt idx="92">
                  <c:v>6281.869900624438</c:v>
                </c:pt>
                <c:pt idx="93">
                  <c:v>6910.056890686882</c:v>
                </c:pt>
                <c:pt idx="94">
                  <c:v>6391.802623885366</c:v>
                </c:pt>
                <c:pt idx="95">
                  <c:v>5912.417427093964</c:v>
                </c:pt>
                <c:pt idx="96">
                  <c:v>6503.659169803361</c:v>
                </c:pt>
                <c:pt idx="97">
                  <c:v>7154.025086783698</c:v>
                </c:pt>
                <c:pt idx="98">
                  <c:v>6617.4732052749205</c:v>
                </c:pt>
                <c:pt idx="99">
                  <c:v>6121.162714879301</c:v>
                </c:pt>
                <c:pt idx="100">
                  <c:v>6733.278986367232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Fig4!$B$7:$B$107</c:f>
              <c:numCache>
                <c:ptCount val="101"/>
                <c:pt idx="0">
                  <c:v>1000</c:v>
                </c:pt>
                <c:pt idx="1">
                  <c:v>1100</c:v>
                </c:pt>
                <c:pt idx="2">
                  <c:v>1200</c:v>
                </c:pt>
                <c:pt idx="3">
                  <c:v>1125</c:v>
                </c:pt>
                <c:pt idx="4">
                  <c:v>1050</c:v>
                </c:pt>
                <c:pt idx="5">
                  <c:v>975</c:v>
                </c:pt>
                <c:pt idx="6">
                  <c:v>900</c:v>
                </c:pt>
                <c:pt idx="7">
                  <c:v>825</c:v>
                </c:pt>
                <c:pt idx="8">
                  <c:v>750</c:v>
                </c:pt>
                <c:pt idx="9">
                  <c:v>850</c:v>
                </c:pt>
                <c:pt idx="10">
                  <c:v>950</c:v>
                </c:pt>
                <c:pt idx="11">
                  <c:v>875</c:v>
                </c:pt>
                <c:pt idx="12">
                  <c:v>800</c:v>
                </c:pt>
                <c:pt idx="13">
                  <c:v>900</c:v>
                </c:pt>
                <c:pt idx="14">
                  <c:v>825</c:v>
                </c:pt>
                <c:pt idx="15">
                  <c:v>750</c:v>
                </c:pt>
                <c:pt idx="16">
                  <c:v>850</c:v>
                </c:pt>
                <c:pt idx="17">
                  <c:v>775</c:v>
                </c:pt>
                <c:pt idx="18">
                  <c:v>700</c:v>
                </c:pt>
                <c:pt idx="19">
                  <c:v>625</c:v>
                </c:pt>
                <c:pt idx="20">
                  <c:v>725</c:v>
                </c:pt>
                <c:pt idx="21">
                  <c:v>650</c:v>
                </c:pt>
                <c:pt idx="22">
                  <c:v>750</c:v>
                </c:pt>
                <c:pt idx="23">
                  <c:v>850</c:v>
                </c:pt>
                <c:pt idx="24">
                  <c:v>775</c:v>
                </c:pt>
                <c:pt idx="25">
                  <c:v>700</c:v>
                </c:pt>
                <c:pt idx="26">
                  <c:v>800</c:v>
                </c:pt>
                <c:pt idx="27">
                  <c:v>900</c:v>
                </c:pt>
                <c:pt idx="28">
                  <c:v>825</c:v>
                </c:pt>
                <c:pt idx="29">
                  <c:v>925</c:v>
                </c:pt>
                <c:pt idx="30">
                  <c:v>1025</c:v>
                </c:pt>
                <c:pt idx="31">
                  <c:v>1125</c:v>
                </c:pt>
                <c:pt idx="32">
                  <c:v>1225</c:v>
                </c:pt>
                <c:pt idx="33">
                  <c:v>1150</c:v>
                </c:pt>
                <c:pt idx="34">
                  <c:v>1250</c:v>
                </c:pt>
                <c:pt idx="35">
                  <c:v>1350</c:v>
                </c:pt>
                <c:pt idx="36">
                  <c:v>1275</c:v>
                </c:pt>
                <c:pt idx="37">
                  <c:v>1375</c:v>
                </c:pt>
                <c:pt idx="38">
                  <c:v>1475</c:v>
                </c:pt>
                <c:pt idx="39">
                  <c:v>1400</c:v>
                </c:pt>
                <c:pt idx="40">
                  <c:v>1500</c:v>
                </c:pt>
                <c:pt idx="41">
                  <c:v>1425</c:v>
                </c:pt>
                <c:pt idx="42">
                  <c:v>1525</c:v>
                </c:pt>
                <c:pt idx="43">
                  <c:v>1450</c:v>
                </c:pt>
                <c:pt idx="44">
                  <c:v>1550</c:v>
                </c:pt>
                <c:pt idx="45">
                  <c:v>1650</c:v>
                </c:pt>
                <c:pt idx="46">
                  <c:v>1575</c:v>
                </c:pt>
                <c:pt idx="47">
                  <c:v>1675</c:v>
                </c:pt>
                <c:pt idx="48">
                  <c:v>1775</c:v>
                </c:pt>
                <c:pt idx="49">
                  <c:v>1700</c:v>
                </c:pt>
                <c:pt idx="50">
                  <c:v>1800</c:v>
                </c:pt>
                <c:pt idx="51">
                  <c:v>1900</c:v>
                </c:pt>
                <c:pt idx="52">
                  <c:v>1825</c:v>
                </c:pt>
                <c:pt idx="53">
                  <c:v>1925</c:v>
                </c:pt>
                <c:pt idx="54">
                  <c:v>1850</c:v>
                </c:pt>
                <c:pt idx="55">
                  <c:v>1775</c:v>
                </c:pt>
                <c:pt idx="56">
                  <c:v>1700</c:v>
                </c:pt>
                <c:pt idx="57">
                  <c:v>1800</c:v>
                </c:pt>
                <c:pt idx="58">
                  <c:v>1900</c:v>
                </c:pt>
                <c:pt idx="59">
                  <c:v>2000</c:v>
                </c:pt>
                <c:pt idx="60">
                  <c:v>2100</c:v>
                </c:pt>
                <c:pt idx="61">
                  <c:v>2025</c:v>
                </c:pt>
                <c:pt idx="62">
                  <c:v>2125</c:v>
                </c:pt>
                <c:pt idx="63">
                  <c:v>2225</c:v>
                </c:pt>
                <c:pt idx="64">
                  <c:v>2325</c:v>
                </c:pt>
                <c:pt idx="65">
                  <c:v>2250</c:v>
                </c:pt>
                <c:pt idx="66">
                  <c:v>2350</c:v>
                </c:pt>
                <c:pt idx="67">
                  <c:v>2275</c:v>
                </c:pt>
                <c:pt idx="68">
                  <c:v>2200</c:v>
                </c:pt>
                <c:pt idx="69">
                  <c:v>2300</c:v>
                </c:pt>
                <c:pt idx="70">
                  <c:v>2225</c:v>
                </c:pt>
                <c:pt idx="71">
                  <c:v>2325</c:v>
                </c:pt>
                <c:pt idx="72">
                  <c:v>2425</c:v>
                </c:pt>
                <c:pt idx="73">
                  <c:v>2525</c:v>
                </c:pt>
                <c:pt idx="74">
                  <c:v>2625</c:v>
                </c:pt>
                <c:pt idx="75">
                  <c:v>2725</c:v>
                </c:pt>
                <c:pt idx="76">
                  <c:v>2825</c:v>
                </c:pt>
                <c:pt idx="77">
                  <c:v>2925</c:v>
                </c:pt>
                <c:pt idx="78">
                  <c:v>2850</c:v>
                </c:pt>
                <c:pt idx="79">
                  <c:v>2950</c:v>
                </c:pt>
                <c:pt idx="80">
                  <c:v>2875</c:v>
                </c:pt>
                <c:pt idx="81">
                  <c:v>2975</c:v>
                </c:pt>
                <c:pt idx="82">
                  <c:v>2900</c:v>
                </c:pt>
                <c:pt idx="83">
                  <c:v>2825</c:v>
                </c:pt>
                <c:pt idx="84">
                  <c:v>2925</c:v>
                </c:pt>
                <c:pt idx="85">
                  <c:v>2850</c:v>
                </c:pt>
                <c:pt idx="86">
                  <c:v>2950</c:v>
                </c:pt>
                <c:pt idx="87">
                  <c:v>3050</c:v>
                </c:pt>
                <c:pt idx="88">
                  <c:v>3150</c:v>
                </c:pt>
                <c:pt idx="89">
                  <c:v>3250</c:v>
                </c:pt>
                <c:pt idx="90">
                  <c:v>3175</c:v>
                </c:pt>
                <c:pt idx="91">
                  <c:v>3100</c:v>
                </c:pt>
                <c:pt idx="92">
                  <c:v>3200</c:v>
                </c:pt>
                <c:pt idx="93">
                  <c:v>3300</c:v>
                </c:pt>
                <c:pt idx="94">
                  <c:v>3225</c:v>
                </c:pt>
                <c:pt idx="95">
                  <c:v>3150</c:v>
                </c:pt>
                <c:pt idx="96">
                  <c:v>3250</c:v>
                </c:pt>
                <c:pt idx="97">
                  <c:v>3350</c:v>
                </c:pt>
                <c:pt idx="98">
                  <c:v>3275</c:v>
                </c:pt>
                <c:pt idx="99">
                  <c:v>3200</c:v>
                </c:pt>
                <c:pt idx="100">
                  <c:v>3300</c:v>
                </c:pt>
              </c:numCache>
            </c:numRef>
          </c:val>
          <c:smooth val="0"/>
        </c:ser>
        <c:axId val="46577464"/>
        <c:axId val="16543993"/>
      </c:lineChart>
      <c:catAx>
        <c:axId val="46577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543993"/>
        <c:crosses val="autoZero"/>
        <c:auto val="0"/>
        <c:lblOffset val="100"/>
        <c:noMultiLvlLbl val="0"/>
      </c:catAx>
      <c:valAx>
        <c:axId val="16543993"/>
        <c:scaling>
          <c:orientation val="minMax"/>
          <c:max val="10000"/>
          <c:min val="-1000"/>
        </c:scaling>
        <c:axPos val="l"/>
        <c:delete val="0"/>
        <c:numFmt formatCode="0" sourceLinked="0"/>
        <c:majorTickMark val="out"/>
        <c:minorTickMark val="none"/>
        <c:tickLblPos val="nextTo"/>
        <c:crossAx val="46577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Fixed-Amount Inverse Cumulative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75"/>
          <c:w val="1"/>
          <c:h val="0.80825"/>
        </c:manualLayout>
      </c:layout>
      <c:scatterChart>
        <c:scatterStyle val="lineMarker"/>
        <c:varyColors val="0"/>
        <c:ser>
          <c:idx val="4"/>
          <c:order val="0"/>
          <c:tx>
            <c:v>Data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Fig4!$E$5:$E$15</c:f>
              <c:numCach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Fig4!$F$5:$F$15</c:f>
              <c:numCache>
                <c:ptCount val="11"/>
                <c:pt idx="0">
                  <c:v>1567.5</c:v>
                </c:pt>
                <c:pt idx="1">
                  <c:v>1725.0000000000002</c:v>
                </c:pt>
                <c:pt idx="2">
                  <c:v>1900</c:v>
                </c:pt>
                <c:pt idx="3">
                  <c:v>2075</c:v>
                </c:pt>
                <c:pt idx="4">
                  <c:v>2250</c:v>
                </c:pt>
                <c:pt idx="5">
                  <c:v>2425</c:v>
                </c:pt>
                <c:pt idx="6">
                  <c:v>2600</c:v>
                </c:pt>
                <c:pt idx="7">
                  <c:v>2775</c:v>
                </c:pt>
                <c:pt idx="8">
                  <c:v>2950</c:v>
                </c:pt>
                <c:pt idx="9">
                  <c:v>3125</c:v>
                </c:pt>
                <c:pt idx="10">
                  <c:v>3282.5</c:v>
                </c:pt>
              </c:numCache>
            </c:numRef>
          </c:yVal>
          <c:smooth val="0"/>
        </c:ser>
        <c:ser>
          <c:idx val="5"/>
          <c:order val="1"/>
          <c:tx>
            <c:v>NORM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Fig4!$E$5:$E$15</c:f>
              <c:numCach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Fig4!$G$5:$G$15</c:f>
              <c:numCache>
                <c:ptCount val="11"/>
                <c:pt idx="0">
                  <c:v>-453.7012671117259</c:v>
                </c:pt>
                <c:pt idx="1">
                  <c:v>839.1618000102465</c:v>
                </c:pt>
                <c:pt idx="2">
                  <c:v>1383.5466689471016</c:v>
                </c:pt>
                <c:pt idx="3">
                  <c:v>1776.086866223996</c:v>
                </c:pt>
                <c:pt idx="4">
                  <c:v>2111.4996136531313</c:v>
                </c:pt>
                <c:pt idx="5">
                  <c:v>2425</c:v>
                </c:pt>
                <c:pt idx="6">
                  <c:v>2738.5003863468687</c:v>
                </c:pt>
                <c:pt idx="7">
                  <c:v>3073.913133776004</c:v>
                </c:pt>
                <c:pt idx="8">
                  <c:v>3466.4533310528986</c:v>
                </c:pt>
                <c:pt idx="9">
                  <c:v>4010.838199989754</c:v>
                </c:pt>
                <c:pt idx="10">
                  <c:v>5303.701267111726</c:v>
                </c:pt>
              </c:numCache>
            </c:numRef>
          </c:yVal>
          <c:smooth val="0"/>
        </c:ser>
        <c:ser>
          <c:idx val="6"/>
          <c:order val="2"/>
          <c:tx>
            <c:v>GENL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Fig4!$E$5:$E$15</c:f>
              <c:numCach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Fig4!$H$5:$H$15</c:f>
              <c:numCache>
                <c:ptCount val="11"/>
                <c:pt idx="0">
                  <c:v>916.045654296875</c:v>
                </c:pt>
                <c:pt idx="1">
                  <c:v>1593.7371826171875</c:v>
                </c:pt>
                <c:pt idx="2">
                  <c:v>1879.0921630859375</c:v>
                </c:pt>
                <c:pt idx="3">
                  <c:v>2084.853515625</c:v>
                </c:pt>
                <c:pt idx="4">
                  <c:v>2260.669677734375</c:v>
                </c:pt>
                <c:pt idx="5">
                  <c:v>2425</c:v>
                </c:pt>
                <c:pt idx="6">
                  <c:v>2589.330322265625</c:v>
                </c:pt>
                <c:pt idx="7">
                  <c:v>2765.146484375</c:v>
                </c:pt>
                <c:pt idx="8">
                  <c:v>2970.90771484375</c:v>
                </c:pt>
                <c:pt idx="9">
                  <c:v>3256.262939453125</c:v>
                </c:pt>
                <c:pt idx="10">
                  <c:v>3933.954345703125</c:v>
                </c:pt>
              </c:numCache>
            </c:numRef>
          </c:yVal>
          <c:smooth val="0"/>
        </c:ser>
        <c:axId val="14678210"/>
        <c:axId val="64995027"/>
      </c:scatterChart>
      <c:valAx>
        <c:axId val="14678210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4995027"/>
        <c:crosses val="autoZero"/>
        <c:crossBetween val="midCat"/>
        <c:dispUnits/>
      </c:valAx>
      <c:valAx>
        <c:axId val="64995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6782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14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Fixed-Fraction Inverse Cumulative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75"/>
          <c:w val="0.96025"/>
          <c:h val="0.8092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Fig4!$E$5:$E$15</c:f>
              <c:numCach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Fig4!$I$5:$I$15</c:f>
              <c:numCache>
                <c:ptCount val="11"/>
                <c:pt idx="0">
                  <c:v>1245.894370910569</c:v>
                </c:pt>
                <c:pt idx="1">
                  <c:v>1744.7475177702659</c:v>
                </c:pt>
                <c:pt idx="2">
                  <c:v>2299.028792058816</c:v>
                </c:pt>
                <c:pt idx="3">
                  <c:v>2853.310066347369</c:v>
                </c:pt>
                <c:pt idx="4">
                  <c:v>3407.591340635919</c:v>
                </c:pt>
                <c:pt idx="5">
                  <c:v>3961.8726149244712</c:v>
                </c:pt>
                <c:pt idx="6">
                  <c:v>4516.153889213023</c:v>
                </c:pt>
                <c:pt idx="7">
                  <c:v>5070.435163501574</c:v>
                </c:pt>
                <c:pt idx="8">
                  <c:v>5624.716437790126</c:v>
                </c:pt>
                <c:pt idx="9">
                  <c:v>6178.997712078677</c:v>
                </c:pt>
                <c:pt idx="10">
                  <c:v>6677.850858938374</c:v>
                </c:pt>
              </c:numCache>
            </c:numRef>
          </c:yVal>
          <c:smooth val="0"/>
        </c:ser>
        <c:ser>
          <c:idx val="1"/>
          <c:order val="1"/>
          <c:tx>
            <c:v>EXP(NORM)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Fig4!$E$5:$E$15</c:f>
              <c:numCach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Fig4!$J$5:$J$15</c:f>
              <c:numCache>
                <c:ptCount val="11"/>
                <c:pt idx="0">
                  <c:v>163.7248628857728</c:v>
                </c:pt>
                <c:pt idx="1">
                  <c:v>588.9152364097417</c:v>
                </c:pt>
                <c:pt idx="2">
                  <c:v>1009.58118187674</c:v>
                </c:pt>
                <c:pt idx="3">
                  <c:v>1489.1404755361111</c:v>
                </c:pt>
                <c:pt idx="4">
                  <c:v>2075.7018622600986</c:v>
                </c:pt>
                <c:pt idx="5">
                  <c:v>2831.208459512466</c:v>
                </c:pt>
                <c:pt idx="6">
                  <c:v>3861.701666773631</c:v>
                </c:pt>
                <c:pt idx="7">
                  <c:v>5382.7973068351275</c:v>
                </c:pt>
                <c:pt idx="8">
                  <c:v>7939.669919673288</c:v>
                </c:pt>
                <c:pt idx="9">
                  <c:v>13611.027267832389</c:v>
                </c:pt>
                <c:pt idx="10">
                  <c:v>48958.60775163608</c:v>
                </c:pt>
              </c:numCache>
            </c:numRef>
          </c:yVal>
          <c:smooth val="0"/>
        </c:ser>
        <c:ser>
          <c:idx val="2"/>
          <c:order val="2"/>
          <c:tx>
            <c:v>LNORM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Fig4!$E$5:$E$15</c:f>
              <c:numCach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Fig4!$K$5:$K$15</c:f>
              <c:numCache>
                <c:ptCount val="11"/>
                <c:pt idx="0">
                  <c:v>412.1990657808246</c:v>
                </c:pt>
                <c:pt idx="1">
                  <c:v>977.1040127505338</c:v>
                </c:pt>
                <c:pt idx="2">
                  <c:v>1405.3088376084456</c:v>
                </c:pt>
                <c:pt idx="3">
                  <c:v>1826.329509869516</c:v>
                </c:pt>
                <c:pt idx="4">
                  <c:v>2284.671683206904</c:v>
                </c:pt>
                <c:pt idx="5">
                  <c:v>2816.537333306346</c:v>
                </c:pt>
                <c:pt idx="6">
                  <c:v>3472.219929111804</c:v>
                </c:pt>
                <c:pt idx="7">
                  <c:v>4343.620637480252</c:v>
                </c:pt>
                <c:pt idx="8">
                  <c:v>5644.938918486132</c:v>
                </c:pt>
                <c:pt idx="9">
                  <c:v>8118.76979972426</c:v>
                </c:pt>
                <c:pt idx="10">
                  <c:v>19245.270570619195</c:v>
                </c:pt>
              </c:numCache>
            </c:numRef>
          </c:yVal>
          <c:smooth val="0"/>
        </c:ser>
        <c:ser>
          <c:idx val="3"/>
          <c:order val="3"/>
          <c:tx>
            <c:v>GENL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Fig4!$E$5:$E$15</c:f>
              <c:numCache>
                <c:ptCount val="11"/>
                <c:pt idx="0">
                  <c:v>0.01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0.99</c:v>
                </c:pt>
              </c:numCache>
            </c:numRef>
          </c:xVal>
          <c:yVal>
            <c:numRef>
              <c:f>Fig4!$L$5:$L$15</c:f>
              <c:numCache>
                <c:ptCount val="11"/>
                <c:pt idx="0">
                  <c:v>-817.4708862304688</c:v>
                </c:pt>
                <c:pt idx="1">
                  <c:v>1328.9959716796875</c:v>
                </c:pt>
                <c:pt idx="2">
                  <c:v>2232.80712890625</c:v>
                </c:pt>
                <c:pt idx="3">
                  <c:v>2884.51904296875</c:v>
                </c:pt>
                <c:pt idx="4">
                  <c:v>3441.3857421875</c:v>
                </c:pt>
                <c:pt idx="5">
                  <c:v>3961.87255859375</c:v>
                </c:pt>
                <c:pt idx="6">
                  <c:v>4482.359375</c:v>
                </c:pt>
                <c:pt idx="7">
                  <c:v>5039.22607421875</c:v>
                </c:pt>
                <c:pt idx="8">
                  <c:v>5690.93798828125</c:v>
                </c:pt>
                <c:pt idx="9">
                  <c:v>6594.7490234375</c:v>
                </c:pt>
                <c:pt idx="10">
                  <c:v>8741.2158203125</c:v>
                </c:pt>
              </c:numCache>
            </c:numRef>
          </c:yVal>
          <c:smooth val="0"/>
        </c:ser>
        <c:axId val="48084332"/>
        <c:axId val="30105805"/>
      </c:scatterChart>
      <c:valAx>
        <c:axId val="4808433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0105805"/>
        <c:crosses val="autoZero"/>
        <c:crossBetween val="midCat"/>
        <c:dispUnits/>
      </c:valAx>
      <c:valAx>
        <c:axId val="30105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843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575"/>
          <c:y val="0.1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Inverse Cumulative Distribution</a:t>
            </a:r>
          </a:p>
        </c:rich>
      </c:tx>
      <c:layout>
        <c:manualLayout>
          <c:xMode val="factor"/>
          <c:yMode val="factor"/>
          <c:x val="0.0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3725"/>
          <c:w val="0.87475"/>
          <c:h val="0.793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Fig5!$A$8:$A$108</c:f>
              <c:numCache>
                <c:ptCount val="101"/>
                <c:pt idx="0">
                  <c:v>0.001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0.8100000000000005</c:v>
                </c:pt>
                <c:pt idx="82">
                  <c:v>0.8200000000000005</c:v>
                </c:pt>
                <c:pt idx="83">
                  <c:v>0.8300000000000005</c:v>
                </c:pt>
                <c:pt idx="84">
                  <c:v>0.8400000000000005</c:v>
                </c:pt>
                <c:pt idx="85">
                  <c:v>0.8500000000000005</c:v>
                </c:pt>
                <c:pt idx="86">
                  <c:v>0.8600000000000005</c:v>
                </c:pt>
                <c:pt idx="87">
                  <c:v>0.8700000000000006</c:v>
                </c:pt>
                <c:pt idx="88">
                  <c:v>0.8800000000000006</c:v>
                </c:pt>
                <c:pt idx="89">
                  <c:v>0.8900000000000006</c:v>
                </c:pt>
                <c:pt idx="90">
                  <c:v>0.9000000000000006</c:v>
                </c:pt>
                <c:pt idx="91">
                  <c:v>0.9100000000000006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</c:v>
                </c:pt>
                <c:pt idx="95">
                  <c:v>0.9500000000000006</c:v>
                </c:pt>
                <c:pt idx="96">
                  <c:v>0.9600000000000006</c:v>
                </c:pt>
                <c:pt idx="97">
                  <c:v>0.9700000000000006</c:v>
                </c:pt>
                <c:pt idx="98">
                  <c:v>0.9800000000000006</c:v>
                </c:pt>
                <c:pt idx="99">
                  <c:v>0.9900000000000007</c:v>
                </c:pt>
                <c:pt idx="100">
                  <c:v>0.999</c:v>
                </c:pt>
              </c:numCache>
            </c:numRef>
          </c:xVal>
          <c:yVal>
            <c:numRef>
              <c:f>Fig5!$B$8:$B$108</c:f>
              <c:numCache>
                <c:ptCount val="101"/>
                <c:pt idx="0">
                  <c:v>1728.4053370812394</c:v>
                </c:pt>
                <c:pt idx="1">
                  <c:v>1740.82062481793</c:v>
                </c:pt>
                <c:pt idx="2">
                  <c:v>1744.544245074435</c:v>
                </c:pt>
                <c:pt idx="3">
                  <c:v>1746.7385417053797</c:v>
                </c:pt>
                <c:pt idx="4">
                  <c:v>1748.3083383427877</c:v>
                </c:pt>
                <c:pt idx="5">
                  <c:v>1749.5363922385054</c:v>
                </c:pt>
                <c:pt idx="6">
                  <c:v>1750.5483150415118</c:v>
                </c:pt>
                <c:pt idx="7">
                  <c:v>1751.4110639226776</c:v>
                </c:pt>
                <c:pt idx="8">
                  <c:v>1752.1646587737364</c:v>
                </c:pt>
                <c:pt idx="9">
                  <c:v>1752.8349256954632</c:v>
                </c:pt>
                <c:pt idx="10">
                  <c:v>1753.4394013998342</c:v>
                </c:pt>
                <c:pt idx="11">
                  <c:v>1753.9906673127377</c:v>
                </c:pt>
                <c:pt idx="12">
                  <c:v>1754.4980335154303</c:v>
                </c:pt>
                <c:pt idx="13">
                  <c:v>1754.9685537990226</c:v>
                </c:pt>
                <c:pt idx="14">
                  <c:v>1755.4076855237356</c:v>
                </c:pt>
                <c:pt idx="15">
                  <c:v>1755.8198317213314</c:v>
                </c:pt>
                <c:pt idx="16">
                  <c:v>1756.2084618254682</c:v>
                </c:pt>
                <c:pt idx="17">
                  <c:v>1756.5764706339821</c:v>
                </c:pt>
                <c:pt idx="18">
                  <c:v>1756.9262293756367</c:v>
                </c:pt>
                <c:pt idx="19">
                  <c:v>1757.2597633843932</c:v>
                </c:pt>
                <c:pt idx="20">
                  <c:v>1757.578755642815</c:v>
                </c:pt>
                <c:pt idx="21">
                  <c:v>1757.8846527388991</c:v>
                </c:pt>
                <c:pt idx="22">
                  <c:v>1758.1787149852587</c:v>
                </c:pt>
                <c:pt idx="23">
                  <c:v>1758.462014205387</c:v>
                </c:pt>
                <c:pt idx="24">
                  <c:v>1758.7354976293243</c:v>
                </c:pt>
                <c:pt idx="25">
                  <c:v>1758.9999967494077</c:v>
                </c:pt>
                <c:pt idx="26">
                  <c:v>1759.2562744977777</c:v>
                </c:pt>
                <c:pt idx="27">
                  <c:v>1759.504950749777</c:v>
                </c:pt>
                <c:pt idx="28">
                  <c:v>1759.7466398357408</c:v>
                </c:pt>
                <c:pt idx="29">
                  <c:v>1759.9818434503159</c:v>
                </c:pt>
                <c:pt idx="30">
                  <c:v>1760.211044246363</c:v>
                </c:pt>
                <c:pt idx="31">
                  <c:v>1760.434689966911</c:v>
                </c:pt>
                <c:pt idx="32">
                  <c:v>1760.653142715705</c:v>
                </c:pt>
                <c:pt idx="33">
                  <c:v>1760.866768504487</c:v>
                </c:pt>
                <c:pt idx="34">
                  <c:v>1761.075905109713</c:v>
                </c:pt>
                <c:pt idx="35">
                  <c:v>1761.280826807094</c:v>
                </c:pt>
                <c:pt idx="36">
                  <c:v>1761.4818334520992</c:v>
                </c:pt>
                <c:pt idx="37">
                  <c:v>1761.6791643004465</c:v>
                </c:pt>
                <c:pt idx="38">
                  <c:v>1761.8730683159151</c:v>
                </c:pt>
                <c:pt idx="39">
                  <c:v>1762.063753254469</c:v>
                </c:pt>
                <c:pt idx="40">
                  <c:v>1762.2514371482866</c:v>
                </c:pt>
                <c:pt idx="41">
                  <c:v>1762.4362906153917</c:v>
                </c:pt>
                <c:pt idx="42">
                  <c:v>1762.6185113349802</c:v>
                </c:pt>
                <c:pt idx="43">
                  <c:v>1762.798275211536</c:v>
                </c:pt>
                <c:pt idx="44">
                  <c:v>1762.975721290939</c:v>
                </c:pt>
                <c:pt idx="45">
                  <c:v>1763.151015632426</c:v>
                </c:pt>
                <c:pt idx="46">
                  <c:v>1763.3243040754294</c:v>
                </c:pt>
                <c:pt idx="47">
                  <c:v>1763.4957127043926</c:v>
                </c:pt>
                <c:pt idx="48">
                  <c:v>1763.6653790286919</c:v>
                </c:pt>
                <c:pt idx="49">
                  <c:v>1763.8334366319189</c:v>
                </c:pt>
                <c:pt idx="50">
                  <c:v>1764</c:v>
                </c:pt>
                <c:pt idx="51">
                  <c:v>1764.1651876575331</c:v>
                </c:pt>
                <c:pt idx="52">
                  <c:v>1764.3291145402795</c:v>
                </c:pt>
                <c:pt idx="53">
                  <c:v>1764.4918847352033</c:v>
                </c:pt>
                <c:pt idx="54">
                  <c:v>1764.6536137195592</c:v>
                </c:pt>
                <c:pt idx="55">
                  <c:v>1764.8144131672477</c:v>
                </c:pt>
                <c:pt idx="56">
                  <c:v>1764.974377029728</c:v>
                </c:pt>
                <c:pt idx="57">
                  <c:v>1765.1336104062418</c:v>
                </c:pt>
                <c:pt idx="58">
                  <c:v>1765.2922287049173</c:v>
                </c:pt>
                <c:pt idx="59">
                  <c:v>1765.4503157721865</c:v>
                </c:pt>
                <c:pt idx="60">
                  <c:v>1765.6079801428857</c:v>
                </c:pt>
                <c:pt idx="61">
                  <c:v>1765.7653400585605</c:v>
                </c:pt>
                <c:pt idx="62">
                  <c:v>1765.922482273311</c:v>
                </c:pt>
                <c:pt idx="63">
                  <c:v>1766.0795240332184</c:v>
                </c:pt>
                <c:pt idx="64">
                  <c:v>1766.2365644728036</c:v>
                </c:pt>
                <c:pt idx="65">
                  <c:v>1766.3937255015542</c:v>
                </c:pt>
                <c:pt idx="66">
                  <c:v>1766.551110459552</c:v>
                </c:pt>
                <c:pt idx="67">
                  <c:v>1766.7088576201863</c:v>
                </c:pt>
                <c:pt idx="68">
                  <c:v>1766.8670730900847</c:v>
                </c:pt>
                <c:pt idx="69">
                  <c:v>1767.0258970157697</c:v>
                </c:pt>
                <c:pt idx="70">
                  <c:v>1767.185474662147</c:v>
                </c:pt>
                <c:pt idx="71">
                  <c:v>1767.3459325501854</c:v>
                </c:pt>
                <c:pt idx="72">
                  <c:v>1767.5074399422704</c:v>
                </c:pt>
                <c:pt idx="73">
                  <c:v>1767.6701696358898</c:v>
                </c:pt>
                <c:pt idx="74">
                  <c:v>1767.834285630111</c:v>
                </c:pt>
                <c:pt idx="75">
                  <c:v>1768.0000021280625</c:v>
                </c:pt>
                <c:pt idx="76">
                  <c:v>1768.1675093052077</c:v>
                </c:pt>
                <c:pt idx="77">
                  <c:v>1768.3370576761477</c:v>
                </c:pt>
                <c:pt idx="78">
                  <c:v>1768.5089042544876</c:v>
                </c:pt>
                <c:pt idx="79">
                  <c:v>1768.6833360363269</c:v>
                </c:pt>
                <c:pt idx="80">
                  <c:v>1768.86066769861</c:v>
                </c:pt>
                <c:pt idx="81">
                  <c:v>1769.041269315425</c:v>
                </c:pt>
                <c:pt idx="82">
                  <c:v>1769.2255526817237</c:v>
                </c:pt>
                <c:pt idx="83">
                  <c:v>1769.4139854770078</c:v>
                </c:pt>
                <c:pt idx="84">
                  <c:v>1769.6071299514274</c:v>
                </c:pt>
                <c:pt idx="85">
                  <c:v>1769.8056207041138</c:v>
                </c:pt>
                <c:pt idx="86">
                  <c:v>1770.0102267252983</c:v>
                </c:pt>
                <c:pt idx="87">
                  <c:v>1770.2218370424405</c:v>
                </c:pt>
                <c:pt idx="88">
                  <c:v>1770.4415819006185</c:v>
                </c:pt>
                <c:pt idx="89">
                  <c:v>1770.6708133703366</c:v>
                </c:pt>
                <c:pt idx="90">
                  <c:v>1770.911251285259</c:v>
                </c:pt>
                <c:pt idx="91">
                  <c:v>1771.1651197965073</c:v>
                </c:pt>
                <c:pt idx="92">
                  <c:v>1771.4353476561828</c:v>
                </c:pt>
                <c:pt idx="93">
                  <c:v>1771.725895891362</c:v>
                </c:pt>
                <c:pt idx="94">
                  <c:v>1772.042456036278</c:v>
                </c:pt>
                <c:pt idx="95">
                  <c:v>1772.393554281022</c:v>
                </c:pt>
                <c:pt idx="96">
                  <c:v>1772.7929008288352</c:v>
                </c:pt>
                <c:pt idx="97">
                  <c:v>1773.2650473498702</c:v>
                </c:pt>
                <c:pt idx="98">
                  <c:v>1773.8620622183496</c:v>
                </c:pt>
                <c:pt idx="99">
                  <c:v>1774.7363183584737</c:v>
                </c:pt>
                <c:pt idx="100">
                  <c:v>1776.8050652376976</c:v>
                </c:pt>
              </c:numCache>
            </c:numRef>
          </c:yVal>
          <c:smooth val="1"/>
        </c:ser>
        <c:axId val="2516790"/>
        <c:axId val="22651111"/>
      </c:scatterChart>
      <c:valAx>
        <c:axId val="251679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651111"/>
        <c:crosses val="autoZero"/>
        <c:crossBetween val="midCat"/>
        <c:dispUnits/>
        <c:majorUnit val="0.1"/>
      </c:valAx>
      <c:valAx>
        <c:axId val="22651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Possible Values of Unknown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67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Courier New"/>
          <a:ea typeface="Courier New"/>
          <a:cs typeface="Courier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15</xdr:row>
      <xdr:rowOff>19050</xdr:rowOff>
    </xdr:from>
    <xdr:to>
      <xdr:col>7</xdr:col>
      <xdr:colOff>695325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047875" y="2590800"/>
        <a:ext cx="3114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32</xdr:row>
      <xdr:rowOff>57150</xdr:rowOff>
    </xdr:from>
    <xdr:to>
      <xdr:col>7</xdr:col>
      <xdr:colOff>647700</xdr:colOff>
      <xdr:row>46</xdr:row>
      <xdr:rowOff>114300</xdr:rowOff>
    </xdr:to>
    <xdr:graphicFrame>
      <xdr:nvGraphicFramePr>
        <xdr:cNvPr id="2" name="Chart 2"/>
        <xdr:cNvGraphicFramePr/>
      </xdr:nvGraphicFramePr>
      <xdr:xfrm>
        <a:off x="2057400" y="5543550"/>
        <a:ext cx="30575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49</xdr:row>
      <xdr:rowOff>38100</xdr:rowOff>
    </xdr:from>
    <xdr:to>
      <xdr:col>7</xdr:col>
      <xdr:colOff>647700</xdr:colOff>
      <xdr:row>63</xdr:row>
      <xdr:rowOff>152400</xdr:rowOff>
    </xdr:to>
    <xdr:graphicFrame>
      <xdr:nvGraphicFramePr>
        <xdr:cNvPr id="3" name="Chart 3"/>
        <xdr:cNvGraphicFramePr/>
      </xdr:nvGraphicFramePr>
      <xdr:xfrm>
        <a:off x="2028825" y="8439150"/>
        <a:ext cx="30861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95250</xdr:rowOff>
    </xdr:from>
    <xdr:to>
      <xdr:col>2</xdr:col>
      <xdr:colOff>276225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66675" y="5238750"/>
        <a:ext cx="27051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30</xdr:row>
      <xdr:rowOff>114300</xdr:rowOff>
    </xdr:from>
    <xdr:to>
      <xdr:col>5</xdr:col>
      <xdr:colOff>657225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2943225" y="5257800"/>
        <a:ext cx="246697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37</xdr:row>
      <xdr:rowOff>38100</xdr:rowOff>
    </xdr:from>
    <xdr:to>
      <xdr:col>6</xdr:col>
      <xdr:colOff>209550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476250" y="6381750"/>
        <a:ext cx="26479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95250</xdr:colOff>
      <xdr:row>51</xdr:row>
      <xdr:rowOff>9525</xdr:rowOff>
    </xdr:from>
    <xdr:to>
      <xdr:col>7</xdr:col>
      <xdr:colOff>371475</xdr:colOff>
      <xdr:row>63</xdr:row>
      <xdr:rowOff>123825</xdr:rowOff>
    </xdr:to>
    <xdr:graphicFrame>
      <xdr:nvGraphicFramePr>
        <xdr:cNvPr id="2" name="Chart 2"/>
        <xdr:cNvGraphicFramePr/>
      </xdr:nvGraphicFramePr>
      <xdr:xfrm>
        <a:off x="466725" y="8753475"/>
        <a:ext cx="34385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51</xdr:row>
      <xdr:rowOff>0</xdr:rowOff>
    </xdr:from>
    <xdr:to>
      <xdr:col>13</xdr:col>
      <xdr:colOff>504825</xdr:colOff>
      <xdr:row>63</xdr:row>
      <xdr:rowOff>123825</xdr:rowOff>
    </xdr:to>
    <xdr:graphicFrame>
      <xdr:nvGraphicFramePr>
        <xdr:cNvPr id="3" name="Chart 3"/>
        <xdr:cNvGraphicFramePr/>
      </xdr:nvGraphicFramePr>
      <xdr:xfrm>
        <a:off x="4152900" y="8743950"/>
        <a:ext cx="34480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17</xdr:row>
      <xdr:rowOff>19050</xdr:rowOff>
    </xdr:from>
    <xdr:to>
      <xdr:col>7</xdr:col>
      <xdr:colOff>638175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2162175" y="2933700"/>
        <a:ext cx="3400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34</xdr:row>
      <xdr:rowOff>57150</xdr:rowOff>
    </xdr:from>
    <xdr:to>
      <xdr:col>7</xdr:col>
      <xdr:colOff>581025</xdr:colOff>
      <xdr:row>48</xdr:row>
      <xdr:rowOff>114300</xdr:rowOff>
    </xdr:to>
    <xdr:graphicFrame>
      <xdr:nvGraphicFramePr>
        <xdr:cNvPr id="2" name="Chart 2"/>
        <xdr:cNvGraphicFramePr/>
      </xdr:nvGraphicFramePr>
      <xdr:xfrm>
        <a:off x="2171700" y="5886450"/>
        <a:ext cx="33337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51</xdr:row>
      <xdr:rowOff>38100</xdr:rowOff>
    </xdr:from>
    <xdr:to>
      <xdr:col>7</xdr:col>
      <xdr:colOff>581025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2143125" y="8782050"/>
        <a:ext cx="3362325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26</xdr:row>
      <xdr:rowOff>85725</xdr:rowOff>
    </xdr:from>
    <xdr:to>
      <xdr:col>7</xdr:col>
      <xdr:colOff>676275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533525" y="4543425"/>
        <a:ext cx="3867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0.51125</cdr:x>
      <cdr:y>0.493</cdr:y>
    </cdr:from>
    <cdr:to>
      <cdr:x>0.5225</cdr:x>
      <cdr:y>0.57675</cdr:y>
    </cdr:to>
    <cdr:sp textlink="Fig8!$D$2">
      <cdr:nvSpPr>
        <cdr:cNvPr id="1" name="Text 1"/>
        <cdr:cNvSpPr txBox="1">
          <a:spLocks noChangeArrowheads="1"/>
        </cdr:cNvSpPr>
      </cdr:nvSpPr>
      <cdr:spPr>
        <a:xfrm>
          <a:off x="2581275" y="1285875"/>
          <a:ext cx="57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fd2eb98c-cffd-454b-a935-714893a54a5c}" type="TxLink">
            <a:rPr lang="en-US" cap="none" sz="1000" b="1" i="0" u="none" baseline="0">
              <a:latin typeface="Courier New"/>
              <a:ea typeface="Courier New"/>
              <a:cs typeface="Courier New"/>
            </a:rPr>
            <a:t>Probability densities, with mean = 4 and stdev = 3</a:t>
          </a:fld>
        </a:p>
      </cdr:txBody>
    </cdr:sp>
  </cdr:relSizeAnchor>
  <cdr:relSizeAnchor xmlns:cdr="http://schemas.openxmlformats.org/drawingml/2006/chartDrawing">
    <cdr:from>
      <cdr:x>0.44625</cdr:x>
      <cdr:y>0</cdr:y>
    </cdr:from>
    <cdr:to>
      <cdr:x>0.96875</cdr:x>
      <cdr:y>0.08</cdr:y>
    </cdr:to>
    <cdr:sp textlink="Fig8!$D$2">
      <cdr:nvSpPr>
        <cdr:cNvPr id="2" name="Text 2"/>
        <cdr:cNvSpPr txBox="1">
          <a:spLocks noChangeArrowheads="1"/>
        </cdr:cNvSpPr>
      </cdr:nvSpPr>
      <cdr:spPr>
        <a:xfrm>
          <a:off x="2257425" y="0"/>
          <a:ext cx="2647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693a75fe-f399-472f-9f32-8375c89f1ea3}" type="TxLink">
            <a:rPr lang="en-US" cap="none" sz="1000" b="1" i="0" u="none" baseline="0"/>
            <a:t>Probability densities, with mean = 4 and stdev = 3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76200</xdr:rowOff>
    </xdr:from>
    <xdr:to>
      <xdr:col>7</xdr:col>
      <xdr:colOff>400050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133350" y="419100"/>
        <a:ext cx="50673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mtool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Sheet1"/>
    </sheetNames>
    <definedNames>
      <definedName name="ce"/>
      <definedName name="DISCRINV"/>
      <definedName name="GAMINV"/>
      <definedName name="genlinv"/>
      <definedName name="LNORMINV"/>
      <definedName name="RISKTOL"/>
      <definedName name="STDEVPR"/>
      <definedName name="UINV"/>
      <definedName name="UTI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7" width="8.125" style="2" customWidth="1"/>
    <col min="8" max="8" width="10.75390625" style="2" customWidth="1"/>
    <col min="9" max="9" width="8.125" style="2" customWidth="1"/>
    <col min="10" max="16384" width="9.00390625" style="2" customWidth="1"/>
  </cols>
  <sheetData>
    <row r="1" spans="1:17" ht="13.5">
      <c r="A1" s="12" t="s">
        <v>0</v>
      </c>
      <c r="B1" s="12" t="s">
        <v>1</v>
      </c>
      <c r="C1"/>
      <c r="D1" s="12" t="s">
        <v>2</v>
      </c>
      <c r="E1"/>
      <c r="F1">
        <v>19.9</v>
      </c>
      <c r="G1">
        <v>20.1</v>
      </c>
      <c r="H1" s="10"/>
      <c r="I1"/>
      <c r="J1"/>
      <c r="K1"/>
      <c r="L1"/>
      <c r="M1"/>
      <c r="N1"/>
      <c r="Q1"/>
    </row>
    <row r="2" spans="1:17" ht="13.5">
      <c r="A2" s="13">
        <v>26</v>
      </c>
      <c r="B2" s="14">
        <v>4.5</v>
      </c>
      <c r="C2"/>
      <c r="D2">
        <f ca="1">NORMINV(RAND(),A2,B2)</f>
        <v>37.21128661907278</v>
      </c>
      <c r="E2"/>
      <c r="F2" s="3" t="s">
        <v>3</v>
      </c>
      <c r="G2"/>
      <c r="H2"/>
      <c r="J2"/>
      <c r="K2"/>
      <c r="L2"/>
      <c r="M2"/>
      <c r="N2"/>
      <c r="Q2"/>
    </row>
    <row r="3" spans="1:14" ht="13.5">
      <c r="A3"/>
      <c r="B3"/>
      <c r="C3"/>
      <c r="D3"/>
      <c r="E3"/>
      <c r="F3">
        <f>NORMSDIST((G1-A2)/B2)-NORMSDIST((F1-A2)/B2)</f>
        <v>0.007289807909052093</v>
      </c>
      <c r="G3" s="19">
        <f>IF(G1&lt;F1,"ERROR: G1&lt;F1","")</f>
      </c>
      <c r="J3">
        <f>F3/(G1-F1)</f>
        <v>0.036449039545259944</v>
      </c>
      <c r="K3"/>
      <c r="L3"/>
      <c r="M3"/>
      <c r="N3"/>
    </row>
    <row r="4" spans="1:14" ht="13.5">
      <c r="A4" s="3" t="s">
        <v>4</v>
      </c>
      <c r="E4" s="18" t="s">
        <v>5</v>
      </c>
      <c r="G4"/>
      <c r="J4"/>
      <c r="K4"/>
      <c r="L4"/>
      <c r="M4"/>
      <c r="N4"/>
    </row>
    <row r="5" spans="1:14" ht="13.5">
      <c r="A5" s="2" t="s">
        <v>6</v>
      </c>
      <c r="B5" s="12" t="s">
        <v>7</v>
      </c>
      <c r="C5" s="2" t="s">
        <v>8</v>
      </c>
      <c r="E5" s="18" t="s">
        <v>9</v>
      </c>
      <c r="F5" s="1"/>
      <c r="G5"/>
      <c r="H5"/>
      <c r="J5"/>
      <c r="K5"/>
      <c r="L5"/>
      <c r="M5"/>
      <c r="N5"/>
    </row>
    <row r="6" spans="1:14" ht="13.5">
      <c r="A6" s="2">
        <v>0.001</v>
      </c>
      <c r="B6" s="2">
        <f aca="true" t="shared" si="0" ref="B6:B37">NORMINV(A6,$A$2,$B$2)</f>
        <v>12.093898769468069</v>
      </c>
      <c r="C6"/>
      <c r="D6"/>
      <c r="E6" s="18"/>
      <c r="H6" s="20" t="s">
        <v>10</v>
      </c>
      <c r="J6" s="2">
        <f>NORMDIST(B6,$A$2,$B$2,FALSE)</f>
        <v>0.0007482135409168893</v>
      </c>
      <c r="K6"/>
      <c r="L6"/>
      <c r="M6"/>
      <c r="N6"/>
    </row>
    <row r="7" spans="1:14" ht="13.5">
      <c r="A7" s="2">
        <v>0.01</v>
      </c>
      <c r="B7" s="2">
        <f t="shared" si="0"/>
        <v>15.5314613240771</v>
      </c>
      <c r="C7" s="2">
        <f aca="true" t="shared" si="1" ref="C7:C38">(A8-A6)/(B8-B6)</f>
        <v>0.004073551672798038</v>
      </c>
      <c r="E7" s="18" t="s">
        <v>11</v>
      </c>
      <c r="F7" s="1"/>
      <c r="J7"/>
      <c r="K7"/>
      <c r="L7"/>
      <c r="M7"/>
      <c r="N7"/>
    </row>
    <row r="8" spans="1:14" ht="13.5">
      <c r="A8" s="2">
        <v>0.02</v>
      </c>
      <c r="B8" s="2">
        <f t="shared" si="0"/>
        <v>16.75813320814632</v>
      </c>
      <c r="C8" s="2">
        <f t="shared" si="1"/>
        <v>0.009975133898775461</v>
      </c>
      <c r="E8" s="18" t="s">
        <v>12</v>
      </c>
      <c r="F8" s="1"/>
      <c r="J8"/>
      <c r="K8"/>
      <c r="L8"/>
      <c r="M8"/>
      <c r="N8"/>
    </row>
    <row r="9" spans="1:14" ht="13.5">
      <c r="A9" s="2">
        <v>0.03</v>
      </c>
      <c r="B9" s="2">
        <f t="shared" si="0"/>
        <v>17.53644694160903</v>
      </c>
      <c r="C9" s="2">
        <f t="shared" si="1"/>
        <v>0.01466514118501624</v>
      </c>
      <c r="E9" s="18" t="s">
        <v>13</v>
      </c>
      <c r="F9" s="1"/>
      <c r="J9"/>
      <c r="K9"/>
      <c r="L9"/>
      <c r="M9"/>
      <c r="N9"/>
    </row>
    <row r="10" spans="1:14" ht="13.5">
      <c r="A10" s="2">
        <v>0.04</v>
      </c>
      <c r="B10" s="2">
        <f t="shared" si="0"/>
        <v>18.121911418507807</v>
      </c>
      <c r="C10" s="2">
        <f t="shared" si="1"/>
        <v>0.01883745483364922</v>
      </c>
      <c r="E10" s="18" t="s">
        <v>14</v>
      </c>
      <c r="F10" s="1"/>
      <c r="J10"/>
      <c r="K10"/>
      <c r="L10"/>
      <c r="M10"/>
      <c r="N10"/>
    </row>
    <row r="11" spans="1:14" ht="13.5">
      <c r="A11" s="2">
        <v>0.05</v>
      </c>
      <c r="B11" s="2">
        <f t="shared" si="0"/>
        <v>18.598161497880938</v>
      </c>
      <c r="C11" s="2">
        <f t="shared" si="1"/>
        <v>0.02268566150908087</v>
      </c>
      <c r="D11" s="18"/>
      <c r="E11" s="18" t="s">
        <v>15</v>
      </c>
      <c r="F11"/>
      <c r="G11"/>
      <c r="J11"/>
      <c r="K11"/>
      <c r="L11"/>
      <c r="M11"/>
      <c r="N11"/>
    </row>
    <row r="12" spans="1:14" ht="13.5">
      <c r="A12" s="2">
        <v>0.06</v>
      </c>
      <c r="B12" s="2">
        <f t="shared" si="0"/>
        <v>19.003525560197886</v>
      </c>
      <c r="C12" s="2">
        <f t="shared" si="1"/>
        <v>0.026288933188106153</v>
      </c>
      <c r="D12" s="18"/>
      <c r="E12"/>
      <c r="H12" s="20" t="s">
        <v>16</v>
      </c>
      <c r="J12"/>
      <c r="K12"/>
      <c r="L12"/>
      <c r="M12"/>
      <c r="N12"/>
    </row>
    <row r="13" spans="1:14" ht="13.5">
      <c r="A13" s="2">
        <v>0.07</v>
      </c>
      <c r="B13" s="2">
        <f t="shared" si="0"/>
        <v>19.35893789975671</v>
      </c>
      <c r="C13" s="2">
        <f t="shared" si="1"/>
        <v>0.029689348678095397</v>
      </c>
      <c r="D13" s="18"/>
      <c r="E13" s="18" t="s">
        <v>17</v>
      </c>
      <c r="J13"/>
      <c r="K13"/>
      <c r="L13"/>
      <c r="M13"/>
      <c r="N13"/>
    </row>
    <row r="14" spans="1:14" ht="13.5">
      <c r="A14" s="2">
        <v>0.08</v>
      </c>
      <c r="B14" s="2">
        <f t="shared" si="0"/>
        <v>19.677167822170304</v>
      </c>
      <c r="C14" s="2">
        <f t="shared" si="1"/>
        <v>0.03291273511144037</v>
      </c>
      <c r="D14"/>
      <c r="J14"/>
      <c r="K14"/>
      <c r="L14"/>
      <c r="M14"/>
      <c r="N14"/>
    </row>
    <row r="15" spans="1:14" ht="13.5">
      <c r="A15" s="2">
        <v>0.09</v>
      </c>
      <c r="B15" s="2">
        <f t="shared" si="0"/>
        <v>19.96660541606252</v>
      </c>
      <c r="C15" s="2">
        <f t="shared" si="1"/>
        <v>0.035980696872003184</v>
      </c>
      <c r="D15" s="21" t="s">
        <v>18</v>
      </c>
      <c r="E15"/>
      <c r="K15"/>
      <c r="L15"/>
      <c r="M15"/>
      <c r="N15"/>
    </row>
    <row r="16" spans="1:14" ht="13.5">
      <c r="A16" s="2">
        <v>0.1</v>
      </c>
      <c r="B16" s="2">
        <f t="shared" si="0"/>
        <v>20.23302142531611</v>
      </c>
      <c r="C16" s="2">
        <f t="shared" si="1"/>
        <v>0.03890931660466279</v>
      </c>
      <c r="K16"/>
      <c r="L16"/>
      <c r="M16"/>
      <c r="N16"/>
    </row>
    <row r="17" spans="1:14" ht="13.5">
      <c r="A17" s="2">
        <v>0.11</v>
      </c>
      <c r="B17" s="2">
        <f t="shared" si="0"/>
        <v>20.480621126058395</v>
      </c>
      <c r="C17" s="2">
        <f t="shared" si="1"/>
        <v>0.041707114563945706</v>
      </c>
      <c r="J17"/>
      <c r="K17"/>
      <c r="L17"/>
      <c r="M17"/>
      <c r="N17"/>
    </row>
    <row r="18" spans="1:14" ht="13.5">
      <c r="A18" s="2">
        <v>0.12</v>
      </c>
      <c r="B18" s="2">
        <f t="shared" si="0"/>
        <v>20.71255591743102</v>
      </c>
      <c r="C18" s="2">
        <f t="shared" si="1"/>
        <v>0.04438335501619956</v>
      </c>
      <c r="J18"/>
      <c r="K18"/>
      <c r="L18"/>
      <c r="M18"/>
      <c r="N18"/>
    </row>
    <row r="19" spans="1:14" ht="13.5">
      <c r="A19" s="2">
        <v>0.13</v>
      </c>
      <c r="B19" s="2">
        <f t="shared" si="0"/>
        <v>20.931240507867187</v>
      </c>
      <c r="C19" s="2">
        <f t="shared" si="1"/>
        <v>0.046948176732759604</v>
      </c>
      <c r="J19"/>
      <c r="K19"/>
      <c r="L19"/>
      <c r="M19"/>
      <c r="N19"/>
    </row>
    <row r="20" spans="1:14" ht="13.5">
      <c r="A20" s="2">
        <v>0.14</v>
      </c>
      <c r="B20" s="2">
        <f t="shared" si="0"/>
        <v>21.138557551399572</v>
      </c>
      <c r="C20" s="2">
        <f t="shared" si="1"/>
        <v>0.04940570564827731</v>
      </c>
      <c r="J20"/>
      <c r="K20"/>
      <c r="L20"/>
      <c r="M20"/>
      <c r="N20"/>
    </row>
    <row r="21" spans="1:14" ht="13.5">
      <c r="A21" s="2">
        <v>0.15</v>
      </c>
      <c r="B21" s="2">
        <f t="shared" si="0"/>
        <v>21.33605205215281</v>
      </c>
      <c r="C21" s="2">
        <f t="shared" si="1"/>
        <v>0.05176197172545729</v>
      </c>
      <c r="J21"/>
      <c r="K21"/>
      <c r="L21"/>
      <c r="M21"/>
      <c r="N21"/>
    </row>
    <row r="22" spans="1:14" ht="13.5">
      <c r="A22" s="2">
        <v>0.16</v>
      </c>
      <c r="B22" s="2">
        <f t="shared" si="0"/>
        <v>21.524941596158897</v>
      </c>
      <c r="C22" s="2">
        <f t="shared" si="1"/>
        <v>0.054023750435809134</v>
      </c>
      <c r="J22"/>
      <c r="K22"/>
      <c r="L22"/>
      <c r="M22"/>
      <c r="N22"/>
    </row>
    <row r="23" spans="1:14" ht="13.5">
      <c r="A23" s="2">
        <v>0.17</v>
      </c>
      <c r="B23" s="2">
        <f t="shared" si="0"/>
        <v>21.706259596772725</v>
      </c>
      <c r="C23" s="2">
        <f t="shared" si="1"/>
        <v>0.05619339767912731</v>
      </c>
      <c r="J23"/>
      <c r="K23"/>
      <c r="L23"/>
      <c r="M23"/>
      <c r="N23"/>
    </row>
    <row r="24" spans="1:14" ht="13.5">
      <c r="A24" s="2">
        <v>0.18</v>
      </c>
      <c r="B24" s="2">
        <f t="shared" si="0"/>
        <v>21.880855294672074</v>
      </c>
      <c r="C24" s="2">
        <f t="shared" si="1"/>
        <v>0.05827407620870058</v>
      </c>
      <c r="J24"/>
      <c r="K24"/>
      <c r="L24"/>
      <c r="M24"/>
      <c r="N24"/>
    </row>
    <row r="25" spans="1:14" ht="13.5">
      <c r="A25" s="2">
        <v>0.19</v>
      </c>
      <c r="B25" s="2">
        <f t="shared" si="0"/>
        <v>22.04946538056538</v>
      </c>
      <c r="C25" s="2">
        <f t="shared" si="1"/>
        <v>0.060268471565024705</v>
      </c>
      <c r="J25"/>
      <c r="K25"/>
      <c r="L25"/>
      <c r="M25"/>
      <c r="N25"/>
    </row>
    <row r="26" spans="1:14" ht="13.5">
      <c r="A26" s="2">
        <v>0.2</v>
      </c>
      <c r="B26" s="2">
        <f t="shared" si="0"/>
        <v>22.21270376337634</v>
      </c>
      <c r="C26" s="2">
        <f t="shared" si="1"/>
        <v>0.06218187810620148</v>
      </c>
      <c r="J26"/>
      <c r="K26"/>
      <c r="L26"/>
      <c r="M26"/>
      <c r="N26"/>
    </row>
    <row r="27" spans="1:14" ht="13.5">
      <c r="A27" s="2">
        <v>0.21</v>
      </c>
      <c r="B27" s="2">
        <f t="shared" si="0"/>
        <v>22.37110249750549</v>
      </c>
      <c r="C27" s="2">
        <f t="shared" si="1"/>
        <v>0.06401465001697866</v>
      </c>
      <c r="J27"/>
      <c r="K27"/>
      <c r="L27"/>
      <c r="M27"/>
      <c r="N27"/>
    </row>
    <row r="28" spans="1:14" ht="13.5">
      <c r="A28" s="2">
        <v>0.22</v>
      </c>
      <c r="B28" s="2">
        <f t="shared" si="0"/>
        <v>22.525132246461</v>
      </c>
      <c r="C28" s="2">
        <f t="shared" si="1"/>
        <v>0.06577009886502175</v>
      </c>
      <c r="J28"/>
      <c r="K28"/>
      <c r="L28"/>
      <c r="M28"/>
      <c r="N28"/>
    </row>
    <row r="29" spans="1:14" ht="13.5">
      <c r="A29" s="2">
        <v>0.23</v>
      </c>
      <c r="B29" s="2">
        <f t="shared" si="0"/>
        <v>22.67519205104327</v>
      </c>
      <c r="C29" s="2">
        <f t="shared" si="1"/>
        <v>0.06745185611195843</v>
      </c>
      <c r="J29"/>
      <c r="K29"/>
      <c r="L29"/>
      <c r="M29"/>
      <c r="N29"/>
    </row>
    <row r="30" spans="1:14" ht="13.5">
      <c r="A30" s="2">
        <v>0.24</v>
      </c>
      <c r="B30" s="2">
        <f t="shared" si="0"/>
        <v>22.821640024791122</v>
      </c>
      <c r="C30" s="2">
        <f t="shared" si="1"/>
        <v>0.06906046277093143</v>
      </c>
      <c r="J30"/>
      <c r="K30"/>
      <c r="L30"/>
      <c r="M30"/>
      <c r="N30"/>
    </row>
    <row r="31" spans="1:4" ht="13.5">
      <c r="A31" s="2">
        <v>0.25</v>
      </c>
      <c r="B31" s="2">
        <f t="shared" si="0"/>
        <v>22.964793353981804</v>
      </c>
      <c r="C31" s="2">
        <f t="shared" si="1"/>
        <v>0.07059436376425463</v>
      </c>
      <c r="D31"/>
    </row>
    <row r="32" spans="1:4" ht="13.5">
      <c r="A32" s="2">
        <v>0.26</v>
      </c>
      <c r="B32" s="2">
        <f t="shared" si="0"/>
        <v>23.104948761261767</v>
      </c>
      <c r="C32" s="2">
        <f t="shared" si="1"/>
        <v>0.07205954944586176</v>
      </c>
      <c r="D32" s="21" t="s">
        <v>19</v>
      </c>
    </row>
    <row r="33" spans="1:3" ht="13.5">
      <c r="A33" s="2">
        <v>0.27</v>
      </c>
      <c r="B33" s="2">
        <f t="shared" si="0"/>
        <v>23.242341578385094</v>
      </c>
      <c r="C33" s="2">
        <f t="shared" si="1"/>
        <v>0.07345687103601826</v>
      </c>
    </row>
    <row r="34" spans="1:3" ht="13.5">
      <c r="A34" s="2">
        <v>0.28</v>
      </c>
      <c r="B34" s="2">
        <f t="shared" si="0"/>
        <v>23.377217368921265</v>
      </c>
      <c r="C34" s="2">
        <f t="shared" si="1"/>
        <v>0.07478621640847996</v>
      </c>
    </row>
    <row r="35" spans="1:3" ht="13.5">
      <c r="A35" s="2">
        <v>0.29</v>
      </c>
      <c r="B35" s="2">
        <f t="shared" si="0"/>
        <v>23.509770537362783</v>
      </c>
      <c r="C35" s="2">
        <f t="shared" si="1"/>
        <v>0.07605195464432499</v>
      </c>
    </row>
    <row r="36" spans="1:3" ht="13.5">
      <c r="A36" s="2">
        <v>0.3</v>
      </c>
      <c r="B36" s="2">
        <f t="shared" si="0"/>
        <v>23.640195488202153</v>
      </c>
      <c r="C36" s="2">
        <f t="shared" si="1"/>
        <v>0.07724815595433315</v>
      </c>
    </row>
    <row r="37" spans="1:3" ht="13.5">
      <c r="A37" s="2">
        <v>0.31</v>
      </c>
      <c r="B37" s="2">
        <f t="shared" si="0"/>
        <v>23.768676394116483</v>
      </c>
      <c r="C37" s="2">
        <f t="shared" si="1"/>
        <v>0.07838188059461249</v>
      </c>
    </row>
    <row r="38" spans="1:3" ht="13.5">
      <c r="A38" s="2">
        <v>0.32</v>
      </c>
      <c r="B38" s="2">
        <f aca="true" t="shared" si="2" ref="B38:B69">NORMINV(A38,$A$2,$B$2)</f>
        <v>23.895356500521302</v>
      </c>
      <c r="C38" s="2">
        <f t="shared" si="1"/>
        <v>0.07945560498631951</v>
      </c>
    </row>
    <row r="39" spans="1:3" ht="13.5">
      <c r="A39" s="2">
        <v>0.33</v>
      </c>
      <c r="B39" s="2">
        <f t="shared" si="2"/>
        <v>24.020389284647536</v>
      </c>
      <c r="C39" s="2">
        <f aca="true" t="shared" si="3" ref="C39:C70">(A40-A38)/(B40-B38)</f>
        <v>0.0804629867973674</v>
      </c>
    </row>
    <row r="40" spans="1:3" ht="13.5">
      <c r="A40" s="2">
        <v>0.34</v>
      </c>
      <c r="B40" s="2">
        <f t="shared" si="2"/>
        <v>24.143917991910712</v>
      </c>
      <c r="C40" s="2">
        <f t="shared" si="3"/>
        <v>0.08141138435103877</v>
      </c>
    </row>
    <row r="41" spans="1:3" ht="13.5">
      <c r="A41" s="2">
        <v>0.35</v>
      </c>
      <c r="B41" s="2">
        <f t="shared" si="2"/>
        <v>24.266055172280176</v>
      </c>
      <c r="C41" s="2">
        <f t="shared" si="3"/>
        <v>0.08229915954142734</v>
      </c>
    </row>
    <row r="42" spans="1:3" ht="13.5">
      <c r="A42" s="2">
        <v>0.36</v>
      </c>
      <c r="B42" s="2">
        <f t="shared" si="2"/>
        <v>24.38693383935606</v>
      </c>
      <c r="C42" s="2">
        <f t="shared" si="3"/>
        <v>0.08312512601609381</v>
      </c>
    </row>
    <row r="43" spans="1:3" ht="13.5">
      <c r="A43" s="2">
        <v>0.37</v>
      </c>
      <c r="B43" s="2">
        <f t="shared" si="2"/>
        <v>24.506656311292318</v>
      </c>
      <c r="C43" s="2">
        <f t="shared" si="3"/>
        <v>0.08389216044070584</v>
      </c>
    </row>
    <row r="44" spans="1:3" ht="13.5">
      <c r="A44" s="2">
        <v>0.38</v>
      </c>
      <c r="B44" s="2">
        <f t="shared" si="2"/>
        <v>24.62533513805829</v>
      </c>
      <c r="C44" s="2">
        <f t="shared" si="3"/>
        <v>0.08460018776318745</v>
      </c>
    </row>
    <row r="45" spans="1:3" ht="13.5">
      <c r="A45" s="2">
        <v>0.39</v>
      </c>
      <c r="B45" s="2">
        <f t="shared" si="2"/>
        <v>24.743062405992532</v>
      </c>
      <c r="C45" s="2">
        <f t="shared" si="3"/>
        <v>0.0852495677207225</v>
      </c>
    </row>
    <row r="46" spans="1:3" ht="13.5">
      <c r="A46" s="2">
        <v>0.4</v>
      </c>
      <c r="B46" s="2">
        <f t="shared" si="2"/>
        <v>24.859940433248994</v>
      </c>
      <c r="C46" s="2">
        <f t="shared" si="3"/>
        <v>0.08584296955571642</v>
      </c>
    </row>
    <row r="47" spans="1:3" ht="13.5">
      <c r="A47" s="2">
        <v>0.41</v>
      </c>
      <c r="B47" s="2">
        <f t="shared" si="2"/>
        <v>24.976045958443137</v>
      </c>
      <c r="C47" s="2">
        <f t="shared" si="3"/>
        <v>0.08637974891813341</v>
      </c>
    </row>
    <row r="48" spans="1:3" ht="13.5">
      <c r="A48" s="2">
        <v>0.42</v>
      </c>
      <c r="B48" s="2">
        <f t="shared" si="2"/>
        <v>25.091476183821214</v>
      </c>
      <c r="C48" s="2">
        <f t="shared" si="3"/>
        <v>0.08685376189235726</v>
      </c>
    </row>
    <row r="49" spans="1:4" ht="13.5">
      <c r="A49" s="2">
        <v>0.43</v>
      </c>
      <c r="B49" s="2">
        <f t="shared" si="2"/>
        <v>25.206318079814082</v>
      </c>
      <c r="C49" s="2">
        <f t="shared" si="3"/>
        <v>0.08727451615254035</v>
      </c>
      <c r="D49" s="21" t="s">
        <v>20</v>
      </c>
    </row>
    <row r="50" spans="1:4" ht="13.5">
      <c r="A50" s="2">
        <v>0.44</v>
      </c>
      <c r="B50" s="2">
        <f t="shared" si="2"/>
        <v>25.320638153221807</v>
      </c>
      <c r="C50" s="2">
        <f t="shared" si="3"/>
        <v>0.08764038551206968</v>
      </c>
      <c r="D50"/>
    </row>
    <row r="51" spans="1:3" ht="13.5">
      <c r="A51" s="2">
        <v>0.45</v>
      </c>
      <c r="B51" s="2">
        <f t="shared" si="2"/>
        <v>25.434523374475248</v>
      </c>
      <c r="C51" s="2">
        <f t="shared" si="3"/>
        <v>0.08794597940558113</v>
      </c>
    </row>
    <row r="52" spans="1:3" ht="13.5">
      <c r="A52" s="2">
        <v>0.46</v>
      </c>
      <c r="B52" s="2">
        <f t="shared" si="2"/>
        <v>25.548050482189865</v>
      </c>
      <c r="C52" s="2">
        <f t="shared" si="3"/>
        <v>0.08819796224561492</v>
      </c>
    </row>
    <row r="53" spans="1:4" ht="13.5">
      <c r="A53" s="2">
        <v>0.47</v>
      </c>
      <c r="B53" s="2">
        <f t="shared" si="2"/>
        <v>25.661285983165726</v>
      </c>
      <c r="C53" s="2">
        <f t="shared" si="3"/>
        <v>0.08839539358153307</v>
      </c>
      <c r="D53"/>
    </row>
    <row r="54" spans="1:3" ht="13.5">
      <c r="A54" s="2">
        <v>0.48</v>
      </c>
      <c r="B54" s="2">
        <f t="shared" si="2"/>
        <v>25.774306616018293</v>
      </c>
      <c r="C54" s="2">
        <f t="shared" si="3"/>
        <v>0.08853352076764483</v>
      </c>
    </row>
    <row r="55" spans="1:3" ht="13.5">
      <c r="A55" s="2">
        <v>0.49</v>
      </c>
      <c r="B55" s="2">
        <f t="shared" si="2"/>
        <v>25.88718911936303</v>
      </c>
      <c r="C55" s="2">
        <f t="shared" si="3"/>
        <v>0.08861580099140658</v>
      </c>
    </row>
    <row r="56" spans="1:3" ht="13.5">
      <c r="A56" s="2">
        <v>0.5</v>
      </c>
      <c r="B56" s="2">
        <f t="shared" si="2"/>
        <v>26</v>
      </c>
      <c r="C56" s="2">
        <f t="shared" si="3"/>
        <v>0.08864393171595149</v>
      </c>
    </row>
    <row r="57" spans="1:3" ht="13.5">
      <c r="A57" s="2">
        <v>0.51</v>
      </c>
      <c r="B57" s="2">
        <f t="shared" si="2"/>
        <v>26.11281088063697</v>
      </c>
      <c r="C57" s="2">
        <f t="shared" si="3"/>
        <v>0.08861580099140658</v>
      </c>
    </row>
    <row r="58" spans="1:3" ht="13.5">
      <c r="A58" s="2">
        <v>0.52</v>
      </c>
      <c r="B58" s="2">
        <f t="shared" si="2"/>
        <v>26.225693383981707</v>
      </c>
      <c r="C58" s="2">
        <f t="shared" si="3"/>
        <v>0.08853352076764483</v>
      </c>
    </row>
    <row r="59" spans="1:3" ht="13.5">
      <c r="A59" s="2">
        <v>0.53</v>
      </c>
      <c r="B59" s="2">
        <f t="shared" si="2"/>
        <v>26.338714016834274</v>
      </c>
      <c r="C59" s="2">
        <f t="shared" si="3"/>
        <v>0.08839539358153331</v>
      </c>
    </row>
    <row r="60" spans="1:3" ht="13.5">
      <c r="A60" s="2">
        <v>0.54</v>
      </c>
      <c r="B60" s="2">
        <f t="shared" si="2"/>
        <v>26.451949517810135</v>
      </c>
      <c r="C60" s="2">
        <f t="shared" si="3"/>
        <v>0.08819796224561517</v>
      </c>
    </row>
    <row r="61" spans="1:3" ht="13.5">
      <c r="A61" s="2">
        <v>0.55</v>
      </c>
      <c r="B61" s="2">
        <f t="shared" si="2"/>
        <v>26.565476625524752</v>
      </c>
      <c r="C61" s="2">
        <f t="shared" si="3"/>
        <v>0.08794597940558113</v>
      </c>
    </row>
    <row r="62" spans="1:3" ht="13.5">
      <c r="A62" s="2">
        <v>0.56</v>
      </c>
      <c r="B62" s="2">
        <f t="shared" si="2"/>
        <v>26.679361846778193</v>
      </c>
      <c r="C62" s="2">
        <f t="shared" si="3"/>
        <v>0.0876403855120692</v>
      </c>
    </row>
    <row r="63" spans="1:3" ht="13.5">
      <c r="A63" s="2">
        <v>0.57</v>
      </c>
      <c r="B63" s="2">
        <f t="shared" si="2"/>
        <v>26.793681920185918</v>
      </c>
      <c r="C63" s="2">
        <f t="shared" si="3"/>
        <v>0.08727451615253987</v>
      </c>
    </row>
    <row r="64" spans="1:3" ht="13.5">
      <c r="A64" s="2">
        <v>0.58</v>
      </c>
      <c r="B64" s="2">
        <f t="shared" si="2"/>
        <v>26.908523816178786</v>
      </c>
      <c r="C64" s="2">
        <f t="shared" si="3"/>
        <v>0.08685376189235726</v>
      </c>
    </row>
    <row r="65" spans="1:3" ht="13.5">
      <c r="A65" s="2">
        <v>0.59</v>
      </c>
      <c r="B65" s="2">
        <f t="shared" si="2"/>
        <v>27.023954041556863</v>
      </c>
      <c r="C65" s="2">
        <f t="shared" si="3"/>
        <v>0.08637974891813364</v>
      </c>
    </row>
    <row r="66" spans="1:3" ht="13.5">
      <c r="A66" s="2">
        <v>0.6</v>
      </c>
      <c r="B66" s="2">
        <f t="shared" si="2"/>
        <v>27.140059566751006</v>
      </c>
      <c r="C66" s="2">
        <f t="shared" si="3"/>
        <v>0.08584296955571666</v>
      </c>
    </row>
    <row r="67" spans="1:3" ht="13.5">
      <c r="A67" s="2">
        <v>0.61</v>
      </c>
      <c r="B67" s="2">
        <f t="shared" si="2"/>
        <v>27.256937594007468</v>
      </c>
      <c r="C67" s="2">
        <f t="shared" si="3"/>
        <v>0.0852495677207225</v>
      </c>
    </row>
    <row r="68" spans="1:3" ht="13.5">
      <c r="A68" s="2">
        <v>0.62</v>
      </c>
      <c r="B68" s="2">
        <f t="shared" si="2"/>
        <v>27.37466486194171</v>
      </c>
      <c r="C68" s="2">
        <f t="shared" si="3"/>
        <v>0.08460018776318745</v>
      </c>
    </row>
    <row r="69" spans="1:3" ht="13.5">
      <c r="A69" s="2">
        <v>0.63</v>
      </c>
      <c r="B69" s="2">
        <f t="shared" si="2"/>
        <v>27.493343688707682</v>
      </c>
      <c r="C69" s="2">
        <f t="shared" si="3"/>
        <v>0.08389216044070584</v>
      </c>
    </row>
    <row r="70" spans="1:3" ht="13.5">
      <c r="A70" s="2">
        <v>0.64</v>
      </c>
      <c r="B70" s="2">
        <f aca="true" t="shared" si="4" ref="B70:B106">NORMINV(A70,$A$2,$B$2)</f>
        <v>27.61306616064394</v>
      </c>
      <c r="C70" s="2">
        <f t="shared" si="3"/>
        <v>0.08312512601609381</v>
      </c>
    </row>
    <row r="71" spans="1:3" ht="13.5">
      <c r="A71" s="2">
        <v>0.65</v>
      </c>
      <c r="B71" s="2">
        <f t="shared" si="4"/>
        <v>27.733944827719824</v>
      </c>
      <c r="C71" s="2">
        <f aca="true" t="shared" si="5" ref="C71:C105">(A72-A70)/(B72-B70)</f>
        <v>0.08229915954142757</v>
      </c>
    </row>
    <row r="72" spans="1:3" ht="13.5">
      <c r="A72" s="2">
        <v>0.66</v>
      </c>
      <c r="B72" s="2">
        <f t="shared" si="4"/>
        <v>27.856082008089288</v>
      </c>
      <c r="C72" s="2">
        <f t="shared" si="5"/>
        <v>0.08141138435103899</v>
      </c>
    </row>
    <row r="73" spans="1:3" ht="13.5">
      <c r="A73" s="2">
        <v>0.67</v>
      </c>
      <c r="B73" s="2">
        <f t="shared" si="4"/>
        <v>27.979610715352464</v>
      </c>
      <c r="C73" s="2">
        <f t="shared" si="5"/>
        <v>0.0804629867973674</v>
      </c>
    </row>
    <row r="74" spans="1:3" ht="13.5">
      <c r="A74" s="2">
        <v>0.68</v>
      </c>
      <c r="B74" s="2">
        <f t="shared" si="4"/>
        <v>28.104643499478698</v>
      </c>
      <c r="C74" s="2">
        <f t="shared" si="5"/>
        <v>0.07945560498631907</v>
      </c>
    </row>
    <row r="75" spans="1:3" ht="13.5">
      <c r="A75" s="2">
        <v>0.69</v>
      </c>
      <c r="B75" s="2">
        <f t="shared" si="4"/>
        <v>28.231323605883517</v>
      </c>
      <c r="C75" s="2">
        <f t="shared" si="5"/>
        <v>0.07838188059461206</v>
      </c>
    </row>
    <row r="76" spans="1:3" ht="13.5">
      <c r="A76" s="2">
        <v>0.7</v>
      </c>
      <c r="B76" s="2">
        <f t="shared" si="4"/>
        <v>28.359804511797847</v>
      </c>
      <c r="C76" s="2">
        <f t="shared" si="5"/>
        <v>0.07724815595433315</v>
      </c>
    </row>
    <row r="77" spans="1:3" ht="13.5">
      <c r="A77" s="2">
        <v>0.71</v>
      </c>
      <c r="B77" s="2">
        <f t="shared" si="4"/>
        <v>28.490229462637217</v>
      </c>
      <c r="C77" s="2">
        <f t="shared" si="5"/>
        <v>0.0760519546443252</v>
      </c>
    </row>
    <row r="78" spans="1:3" ht="13.5">
      <c r="A78" s="2">
        <v>0.72</v>
      </c>
      <c r="B78" s="2">
        <f t="shared" si="4"/>
        <v>28.622782631078735</v>
      </c>
      <c r="C78" s="2">
        <f t="shared" si="5"/>
        <v>0.07478621640848017</v>
      </c>
    </row>
    <row r="79" spans="1:3" ht="13.5">
      <c r="A79" s="2">
        <v>0.73</v>
      </c>
      <c r="B79" s="2">
        <f t="shared" si="4"/>
        <v>28.757658421614906</v>
      </c>
      <c r="C79" s="2">
        <f t="shared" si="5"/>
        <v>0.07345687103601826</v>
      </c>
    </row>
    <row r="80" spans="1:3" ht="13.5">
      <c r="A80" s="2">
        <v>0.74</v>
      </c>
      <c r="B80" s="2">
        <f t="shared" si="4"/>
        <v>28.895051238738233</v>
      </c>
      <c r="C80" s="2">
        <f t="shared" si="5"/>
        <v>0.07205954944586176</v>
      </c>
    </row>
    <row r="81" spans="1:3" ht="13.5">
      <c r="A81" s="2">
        <v>0.75</v>
      </c>
      <c r="B81" s="2">
        <f t="shared" si="4"/>
        <v>29.035206646018196</v>
      </c>
      <c r="C81" s="2">
        <f t="shared" si="5"/>
        <v>0.07059436376425463</v>
      </c>
    </row>
    <row r="82" spans="1:3" ht="13.5">
      <c r="A82" s="2">
        <v>0.76</v>
      </c>
      <c r="B82" s="2">
        <f t="shared" si="4"/>
        <v>29.178359975208878</v>
      </c>
      <c r="C82" s="2">
        <f t="shared" si="5"/>
        <v>0.06906046277093153</v>
      </c>
    </row>
    <row r="83" spans="1:3" ht="13.5">
      <c r="A83" s="2">
        <v>0.77</v>
      </c>
      <c r="B83" s="2">
        <f t="shared" si="4"/>
        <v>29.32480794895673</v>
      </c>
      <c r="C83" s="2">
        <f t="shared" si="5"/>
        <v>0.06745185611195853</v>
      </c>
    </row>
    <row r="84" spans="1:3" ht="13.5">
      <c r="A84" s="2">
        <v>0.78</v>
      </c>
      <c r="B84" s="2">
        <f t="shared" si="4"/>
        <v>29.474867753539</v>
      </c>
      <c r="C84" s="2">
        <f t="shared" si="5"/>
        <v>0.06577009886502175</v>
      </c>
    </row>
    <row r="85" spans="1:3" ht="13.5">
      <c r="A85" s="2">
        <v>0.79</v>
      </c>
      <c r="B85" s="2">
        <f t="shared" si="4"/>
        <v>29.62889750249451</v>
      </c>
      <c r="C85" s="2">
        <f t="shared" si="5"/>
        <v>0.06401465001697876</v>
      </c>
    </row>
    <row r="86" spans="1:3" ht="13.5">
      <c r="A86" s="2">
        <v>0.8</v>
      </c>
      <c r="B86" s="2">
        <f t="shared" si="4"/>
        <v>29.78729623662366</v>
      </c>
      <c r="C86" s="2">
        <f t="shared" si="5"/>
        <v>0.062181878106201564</v>
      </c>
    </row>
    <row r="87" spans="1:3" ht="13.5">
      <c r="A87" s="2">
        <v>0.81</v>
      </c>
      <c r="B87" s="2">
        <f t="shared" si="4"/>
        <v>29.95053461943462</v>
      </c>
      <c r="C87" s="2">
        <f t="shared" si="5"/>
        <v>0.060268471565024365</v>
      </c>
    </row>
    <row r="88" spans="1:3" ht="13.5">
      <c r="A88" s="2">
        <v>0.82</v>
      </c>
      <c r="B88" s="2">
        <f t="shared" si="4"/>
        <v>30.119144705327926</v>
      </c>
      <c r="C88" s="2">
        <f t="shared" si="5"/>
        <v>0.058274076208700336</v>
      </c>
    </row>
    <row r="89" spans="1:3" ht="13.5">
      <c r="A89" s="2">
        <v>0.83</v>
      </c>
      <c r="B89" s="2">
        <f t="shared" si="4"/>
        <v>30.293740403227275</v>
      </c>
      <c r="C89" s="2">
        <f t="shared" si="5"/>
        <v>0.056193397679127385</v>
      </c>
    </row>
    <row r="90" spans="1:3" ht="13.5">
      <c r="A90" s="2">
        <v>0.84</v>
      </c>
      <c r="B90" s="2">
        <f t="shared" si="4"/>
        <v>30.475058403841103</v>
      </c>
      <c r="C90" s="2">
        <f t="shared" si="5"/>
        <v>0.054023750435809134</v>
      </c>
    </row>
    <row r="91" spans="1:3" ht="13.5">
      <c r="A91" s="2">
        <v>0.85</v>
      </c>
      <c r="B91" s="2">
        <f t="shared" si="4"/>
        <v>30.66394794784719</v>
      </c>
      <c r="C91" s="2">
        <f t="shared" si="5"/>
        <v>0.05176197172545736</v>
      </c>
    </row>
    <row r="92" spans="1:3" ht="13.5">
      <c r="A92" s="2">
        <v>0.86</v>
      </c>
      <c r="B92" s="2">
        <f t="shared" si="4"/>
        <v>30.861442448600428</v>
      </c>
      <c r="C92" s="2">
        <f t="shared" si="5"/>
        <v>0.04940570564827738</v>
      </c>
    </row>
    <row r="93" spans="1:3" ht="13.5">
      <c r="A93" s="2">
        <v>0.87</v>
      </c>
      <c r="B93" s="2">
        <f t="shared" si="4"/>
        <v>31.068759492132813</v>
      </c>
      <c r="C93" s="2">
        <f t="shared" si="5"/>
        <v>0.046948176732759604</v>
      </c>
    </row>
    <row r="94" spans="1:3" ht="13.5">
      <c r="A94" s="2">
        <v>0.88</v>
      </c>
      <c r="B94" s="2">
        <f t="shared" si="4"/>
        <v>31.28744408256898</v>
      </c>
      <c r="C94" s="2">
        <f t="shared" si="5"/>
        <v>0.04438335501619959</v>
      </c>
    </row>
    <row r="95" spans="1:3" ht="13.5">
      <c r="A95" s="2">
        <v>0.89</v>
      </c>
      <c r="B95" s="2">
        <f t="shared" si="4"/>
        <v>31.519378873941605</v>
      </c>
      <c r="C95" s="2">
        <f t="shared" si="5"/>
        <v>0.04170711456394577</v>
      </c>
    </row>
    <row r="96" spans="1:3" ht="13.5">
      <c r="A96" s="2">
        <v>0.9</v>
      </c>
      <c r="B96" s="2">
        <f t="shared" si="4"/>
        <v>31.76697857468389</v>
      </c>
      <c r="C96" s="2">
        <f t="shared" si="5"/>
        <v>0.03890931660466282</v>
      </c>
    </row>
    <row r="97" spans="1:3" ht="13.5">
      <c r="A97" s="2">
        <v>0.91</v>
      </c>
      <c r="B97" s="2">
        <f t="shared" si="4"/>
        <v>32.03339458393748</v>
      </c>
      <c r="C97" s="2">
        <f t="shared" si="5"/>
        <v>0.035980696872003205</v>
      </c>
    </row>
    <row r="98" spans="1:3" ht="13.5">
      <c r="A98" s="2">
        <v>0.92</v>
      </c>
      <c r="B98" s="2">
        <f t="shared" si="4"/>
        <v>32.322832177829696</v>
      </c>
      <c r="C98" s="2">
        <f t="shared" si="5"/>
        <v>0.03291273511144041</v>
      </c>
    </row>
    <row r="99" spans="1:3" ht="13.5">
      <c r="A99" s="2">
        <v>0.93</v>
      </c>
      <c r="B99" s="2">
        <f t="shared" si="4"/>
        <v>32.64106210024329</v>
      </c>
      <c r="C99" s="2">
        <f t="shared" si="5"/>
        <v>0.029689348678095254</v>
      </c>
    </row>
    <row r="100" spans="1:3" ht="13.5">
      <c r="A100" s="2">
        <v>0.94</v>
      </c>
      <c r="B100" s="2">
        <f t="shared" si="4"/>
        <v>32.996474439802114</v>
      </c>
      <c r="C100" s="2">
        <f t="shared" si="5"/>
        <v>0.026288933188106024</v>
      </c>
    </row>
    <row r="101" spans="1:3" ht="13.5">
      <c r="A101" s="2">
        <v>0.95</v>
      </c>
      <c r="B101" s="2">
        <f t="shared" si="4"/>
        <v>33.40183850211906</v>
      </c>
      <c r="C101" s="2">
        <f t="shared" si="5"/>
        <v>0.022685661509080895</v>
      </c>
    </row>
    <row r="102" spans="1:3" ht="13.5">
      <c r="A102" s="2">
        <v>0.96</v>
      </c>
      <c r="B102" s="2">
        <f t="shared" si="4"/>
        <v>33.87808858149219</v>
      </c>
      <c r="C102" s="2">
        <f t="shared" si="5"/>
        <v>0.018837454833649233</v>
      </c>
    </row>
    <row r="103" spans="1:3" ht="13.5">
      <c r="A103" s="2">
        <v>0.97</v>
      </c>
      <c r="B103" s="2">
        <f t="shared" si="4"/>
        <v>34.46355305839097</v>
      </c>
      <c r="C103" s="2">
        <f t="shared" si="5"/>
        <v>0.014665141185016252</v>
      </c>
    </row>
    <row r="104" spans="1:3" ht="13.5">
      <c r="A104" s="2">
        <v>0.98</v>
      </c>
      <c r="B104" s="2">
        <f t="shared" si="4"/>
        <v>35.24186679185368</v>
      </c>
      <c r="C104" s="2">
        <f t="shared" si="5"/>
        <v>0.009975133898775471</v>
      </c>
    </row>
    <row r="105" spans="1:3" ht="13.5">
      <c r="A105" s="2">
        <v>0.99</v>
      </c>
      <c r="B105" s="2">
        <f t="shared" si="4"/>
        <v>36.4685386759229</v>
      </c>
      <c r="C105" s="2">
        <f t="shared" si="5"/>
        <v>0.004073551672798041</v>
      </c>
    </row>
    <row r="106" spans="1:2" ht="13.5">
      <c r="A106" s="2">
        <v>0.999</v>
      </c>
      <c r="B106" s="2">
        <f t="shared" si="4"/>
        <v>39.90610123053193</v>
      </c>
    </row>
  </sheetData>
  <printOptions gridLines="1" headings="1"/>
  <pageMargins left="1" right="1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1" sqref="A1"/>
    </sheetView>
  </sheetViews>
  <sheetFormatPr defaultColWidth="9.00390625" defaultRowHeight="13.5"/>
  <cols>
    <col min="1" max="1" width="22.875" style="0" customWidth="1"/>
    <col min="2" max="6" width="9.875" style="0" customWidth="1"/>
    <col min="8" max="9" width="10.875" style="0" customWidth="1"/>
    <col min="11" max="12" width="13.875" style="0" customWidth="1"/>
  </cols>
  <sheetData>
    <row r="1" ht="13.5">
      <c r="A1" s="3" t="s">
        <v>21</v>
      </c>
    </row>
    <row r="2" ht="13.5">
      <c r="A2" s="3" t="s">
        <v>22</v>
      </c>
    </row>
    <row r="3" spans="1:2" ht="13.5">
      <c r="A3" t="s">
        <v>23</v>
      </c>
      <c r="B3">
        <v>0.12</v>
      </c>
    </row>
    <row r="4" spans="1:3" ht="13.5">
      <c r="A4" t="s">
        <v>24</v>
      </c>
      <c r="B4" s="8">
        <v>4</v>
      </c>
      <c r="C4" s="9" t="s">
        <v>25</v>
      </c>
    </row>
    <row r="5" spans="1:5" ht="13.5">
      <c r="A5" s="3" t="s">
        <v>26</v>
      </c>
      <c r="B5">
        <f>(1+B3/B4)^B4</f>
        <v>1.12550881</v>
      </c>
      <c r="D5" s="23" t="s">
        <v>27</v>
      </c>
      <c r="E5" s="12" t="s">
        <v>28</v>
      </c>
    </row>
    <row r="6" spans="1:5" ht="13.5">
      <c r="A6" s="3" t="s">
        <v>29</v>
      </c>
      <c r="B6">
        <f>EXP(B3)</f>
        <v>1.1274968515793757</v>
      </c>
      <c r="D6">
        <f>EXP(1)</f>
        <v>2.718281828459045</v>
      </c>
      <c r="E6">
        <f>D6^B3</f>
        <v>1.1274968515793757</v>
      </c>
    </row>
    <row r="7" spans="1:2" ht="13.5">
      <c r="A7" s="3" t="s">
        <v>30</v>
      </c>
      <c r="B7">
        <f>LN(B6)</f>
        <v>0.12000000000000005</v>
      </c>
    </row>
    <row r="8" ht="13.5">
      <c r="A8" s="3"/>
    </row>
    <row r="9" ht="13.5">
      <c r="A9" s="3" t="s">
        <v>31</v>
      </c>
    </row>
    <row r="10" ht="13.5">
      <c r="A10" s="3" t="s">
        <v>32</v>
      </c>
    </row>
    <row r="11" ht="13.5">
      <c r="A11" s="3" t="s">
        <v>33</v>
      </c>
    </row>
    <row r="12" ht="13.5">
      <c r="A12" s="3" t="s">
        <v>34</v>
      </c>
    </row>
    <row r="14" ht="13.5">
      <c r="A14" s="3" t="s">
        <v>35</v>
      </c>
    </row>
    <row r="15" spans="2:3" ht="13.5">
      <c r="B15" s="3" t="s">
        <v>36</v>
      </c>
      <c r="C15" s="3" t="s">
        <v>37</v>
      </c>
    </row>
    <row r="16" spans="1:4" ht="13.5">
      <c r="A16" s="10" t="s">
        <v>38</v>
      </c>
      <c r="B16">
        <v>100</v>
      </c>
      <c r="C16" t="s">
        <v>39</v>
      </c>
      <c r="D16" t="s">
        <v>40</v>
      </c>
    </row>
    <row r="17" spans="1:4" ht="13.5">
      <c r="A17" s="10" t="s">
        <v>41</v>
      </c>
      <c r="B17">
        <v>80</v>
      </c>
      <c r="C17" s="11">
        <f>(B17-B16)/B16</f>
        <v>-0.2</v>
      </c>
      <c r="D17" s="11">
        <f>LN(B17/B16)</f>
        <v>-0.2231435513142097</v>
      </c>
    </row>
    <row r="18" spans="1:4" ht="13.5">
      <c r="A18" s="10" t="s">
        <v>42</v>
      </c>
      <c r="B18">
        <v>100</v>
      </c>
      <c r="C18" s="11">
        <f>(B18-B17)/B17</f>
        <v>0.25</v>
      </c>
      <c r="D18" s="11">
        <f>LN(B18/B17)</f>
        <v>0.22314355131420976</v>
      </c>
    </row>
    <row r="19" spans="1:4" ht="13.5">
      <c r="A19" s="4"/>
      <c r="B19" s="10" t="s">
        <v>43</v>
      </c>
      <c r="C19" s="11">
        <f>AVERAGE(C17:C18)</f>
        <v>0.024999999999999994</v>
      </c>
      <c r="D19" s="11">
        <f>AVERAGE(D17:D18)</f>
        <v>2.7755575615628914E-17</v>
      </c>
    </row>
    <row r="21" spans="1:9" ht="13.5">
      <c r="A21" s="22" t="s">
        <v>44</v>
      </c>
      <c r="D21" t="s">
        <v>45</v>
      </c>
      <c r="H21" s="3" t="s">
        <v>46</v>
      </c>
      <c r="I21" s="3" t="s">
        <v>47</v>
      </c>
    </row>
    <row r="22" spans="1:9" ht="13.5">
      <c r="A22" s="22" t="s">
        <v>48</v>
      </c>
      <c r="B22" t="s">
        <v>49</v>
      </c>
      <c r="D22" s="3" t="s">
        <v>50</v>
      </c>
      <c r="H22">
        <f ca="1">NORMINV(RAND(),0,1)</f>
        <v>-0.1127284576796228</v>
      </c>
      <c r="I22">
        <f ca="1">NORMINV(RAND(),0,1)</f>
        <v>-0.1955356765392935</v>
      </c>
    </row>
    <row r="23" spans="1:12" ht="13.5">
      <c r="A23" s="22" t="s">
        <v>51</v>
      </c>
      <c r="B23" t="s">
        <v>52</v>
      </c>
      <c r="D23" t="s">
        <v>53</v>
      </c>
      <c r="H23" s="3" t="s">
        <v>54</v>
      </c>
      <c r="I23" s="3" t="s">
        <v>55</v>
      </c>
      <c r="K23" s="3" t="s">
        <v>56</v>
      </c>
      <c r="L23" s="3" t="s">
        <v>57</v>
      </c>
    </row>
    <row r="24" spans="1:12" ht="13.5">
      <c r="A24" s="22" t="s">
        <v>58</v>
      </c>
      <c r="H24">
        <f>EXP(H22)</f>
        <v>0.893393221250026</v>
      </c>
      <c r="I24">
        <f>EXP(I22)</f>
        <v>0.8223940028688402</v>
      </c>
      <c r="K24">
        <f>H24*I24</f>
        <v>0.7347212273596962</v>
      </c>
      <c r="L24">
        <f>EXP(H22+I22)</f>
        <v>0.7347212273596962</v>
      </c>
    </row>
    <row r="25" spans="1:12" ht="13.5">
      <c r="A25" s="22" t="s">
        <v>59</v>
      </c>
      <c r="H25" s="3" t="s">
        <v>60</v>
      </c>
      <c r="I25" s="3" t="s">
        <v>61</v>
      </c>
      <c r="K25" s="3" t="s">
        <v>62</v>
      </c>
      <c r="L25" s="3" t="s">
        <v>63</v>
      </c>
    </row>
    <row r="26" spans="1:12" ht="13.5">
      <c r="A26" s="22" t="s">
        <v>64</v>
      </c>
      <c r="H26">
        <f>LN(H24)</f>
        <v>-0.11272845767962283</v>
      </c>
      <c r="I26">
        <f>LN(I24)</f>
        <v>-0.19553567653929343</v>
      </c>
      <c r="K26">
        <f>H26+I26</f>
        <v>-0.3082641342189163</v>
      </c>
      <c r="L26">
        <f>LN(H24*I24)</f>
        <v>-0.3082641342189163</v>
      </c>
    </row>
    <row r="27" ht="13.5">
      <c r="A27" s="22" t="s">
        <v>65</v>
      </c>
    </row>
    <row r="28" spans="1:8" ht="13.5">
      <c r="A28" s="22" t="s">
        <v>66</v>
      </c>
      <c r="H28" t="s">
        <v>67</v>
      </c>
    </row>
    <row r="29" spans="1:8" ht="13.5">
      <c r="A29" s="22" t="s">
        <v>68</v>
      </c>
      <c r="H29" t="s">
        <v>69</v>
      </c>
    </row>
    <row r="30" spans="1:8" ht="13.5">
      <c r="A30" s="22" t="s">
        <v>70</v>
      </c>
      <c r="H30" t="s">
        <v>71</v>
      </c>
    </row>
    <row r="31" ht="13.5">
      <c r="H31" t="s">
        <v>72</v>
      </c>
    </row>
    <row r="32" ht="13.5">
      <c r="H32" t="s">
        <v>73</v>
      </c>
    </row>
    <row r="33" ht="13.5">
      <c r="H33" t="s">
        <v>74</v>
      </c>
    </row>
    <row r="34" ht="13.5">
      <c r="H34" t="s">
        <v>75</v>
      </c>
    </row>
    <row r="35" ht="13.5">
      <c r="H35" t="s">
        <v>76</v>
      </c>
    </row>
    <row r="36" ht="13.5">
      <c r="H36" t="s">
        <v>77</v>
      </c>
    </row>
    <row r="37" ht="13.5">
      <c r="H37" t="s">
        <v>78</v>
      </c>
    </row>
    <row r="38" ht="13.5">
      <c r="H38" t="s">
        <v>79</v>
      </c>
    </row>
    <row r="42" spans="1:4" ht="13.5">
      <c r="A42">
        <v>-3</v>
      </c>
      <c r="B42">
        <f aca="true" t="shared" si="0" ref="B42:B66">EXP(A42)</f>
        <v>0.049787068367863944</v>
      </c>
      <c r="C42">
        <f aca="true" t="shared" si="1" ref="C42:C66">LN(B42)</f>
        <v>-3</v>
      </c>
      <c r="D42" s="5" t="s">
        <v>80</v>
      </c>
    </row>
    <row r="43" spans="1:4" ht="13.5">
      <c r="A43">
        <v>-2.75</v>
      </c>
      <c r="B43">
        <f t="shared" si="0"/>
        <v>0.06392786120670757</v>
      </c>
      <c r="C43">
        <f t="shared" si="1"/>
        <v>-2.75</v>
      </c>
      <c r="D43" s="5" t="s">
        <v>81</v>
      </c>
    </row>
    <row r="44" spans="1:3" ht="13.5">
      <c r="A44">
        <v>-2.5</v>
      </c>
      <c r="B44">
        <f t="shared" si="0"/>
        <v>0.0820849986238988</v>
      </c>
      <c r="C44">
        <f t="shared" si="1"/>
        <v>-2.5</v>
      </c>
    </row>
    <row r="45" spans="1:4" ht="13.5">
      <c r="A45">
        <v>-2.25</v>
      </c>
      <c r="B45">
        <f t="shared" si="0"/>
        <v>0.10539922456186433</v>
      </c>
      <c r="C45">
        <f t="shared" si="1"/>
        <v>-2.25</v>
      </c>
      <c r="D45" t="s">
        <v>82</v>
      </c>
    </row>
    <row r="46" spans="1:4" ht="13.5">
      <c r="A46">
        <v>-2</v>
      </c>
      <c r="B46">
        <f t="shared" si="0"/>
        <v>0.1353352832366127</v>
      </c>
      <c r="C46">
        <f t="shared" si="1"/>
        <v>-2</v>
      </c>
      <c r="D46" t="s">
        <v>83</v>
      </c>
    </row>
    <row r="47" spans="1:4" ht="13.5">
      <c r="A47">
        <v>-1.75</v>
      </c>
      <c r="B47">
        <f t="shared" si="0"/>
        <v>0.17377394345044514</v>
      </c>
      <c r="C47">
        <f t="shared" si="1"/>
        <v>-1.75</v>
      </c>
      <c r="D47" t="s">
        <v>84</v>
      </c>
    </row>
    <row r="48" spans="1:4" ht="13.5">
      <c r="A48">
        <v>-1.5</v>
      </c>
      <c r="B48">
        <f t="shared" si="0"/>
        <v>0.22313016014842982</v>
      </c>
      <c r="C48">
        <f t="shared" si="1"/>
        <v>-1.5</v>
      </c>
      <c r="D48" t="s">
        <v>85</v>
      </c>
    </row>
    <row r="49" spans="1:3" ht="13.5">
      <c r="A49">
        <v>-1.25</v>
      </c>
      <c r="B49">
        <f t="shared" si="0"/>
        <v>0.2865047968601901</v>
      </c>
      <c r="C49">
        <f t="shared" si="1"/>
        <v>-1.25</v>
      </c>
    </row>
    <row r="50" spans="1:3" ht="13.5">
      <c r="A50">
        <v>-1</v>
      </c>
      <c r="B50">
        <f t="shared" si="0"/>
        <v>0.36787944117144233</v>
      </c>
      <c r="C50">
        <f t="shared" si="1"/>
        <v>-1</v>
      </c>
    </row>
    <row r="51" spans="1:3" ht="13.5">
      <c r="A51">
        <v>-0.75</v>
      </c>
      <c r="B51">
        <f t="shared" si="0"/>
        <v>0.4723665527410147</v>
      </c>
      <c r="C51">
        <f t="shared" si="1"/>
        <v>-0.75</v>
      </c>
    </row>
    <row r="52" spans="1:3" ht="13.5">
      <c r="A52">
        <v>-0.5</v>
      </c>
      <c r="B52">
        <f t="shared" si="0"/>
        <v>0.6065306597126334</v>
      </c>
      <c r="C52">
        <f t="shared" si="1"/>
        <v>-0.5</v>
      </c>
    </row>
    <row r="53" spans="1:3" ht="13.5">
      <c r="A53">
        <v>-0.25</v>
      </c>
      <c r="B53">
        <f t="shared" si="0"/>
        <v>0.7788007830714049</v>
      </c>
      <c r="C53">
        <f t="shared" si="1"/>
        <v>-0.25</v>
      </c>
    </row>
    <row r="54" spans="1:3" ht="13.5">
      <c r="A54">
        <v>0</v>
      </c>
      <c r="B54">
        <f t="shared" si="0"/>
        <v>1</v>
      </c>
      <c r="C54">
        <f t="shared" si="1"/>
        <v>0</v>
      </c>
    </row>
    <row r="55" spans="1:3" ht="13.5">
      <c r="A55">
        <v>0.25</v>
      </c>
      <c r="B55">
        <f t="shared" si="0"/>
        <v>1.2840254166877414</v>
      </c>
      <c r="C55">
        <f t="shared" si="1"/>
        <v>0.24999999999999992</v>
      </c>
    </row>
    <row r="56" spans="1:3" ht="13.5">
      <c r="A56">
        <v>0.5</v>
      </c>
      <c r="B56">
        <f t="shared" si="0"/>
        <v>1.6487212707001282</v>
      </c>
      <c r="C56">
        <f t="shared" si="1"/>
        <v>0.5</v>
      </c>
    </row>
    <row r="57" spans="1:3" ht="13.5">
      <c r="A57">
        <v>0.75</v>
      </c>
      <c r="B57">
        <f t="shared" si="0"/>
        <v>2.117000016612675</v>
      </c>
      <c r="C57">
        <f t="shared" si="1"/>
        <v>0.75</v>
      </c>
    </row>
    <row r="58" spans="1:3" ht="13.5">
      <c r="A58">
        <v>1</v>
      </c>
      <c r="B58">
        <f t="shared" si="0"/>
        <v>2.718281828459045</v>
      </c>
      <c r="C58">
        <f t="shared" si="1"/>
        <v>1</v>
      </c>
    </row>
    <row r="59" spans="1:3" ht="13.5">
      <c r="A59">
        <v>1.25</v>
      </c>
      <c r="B59">
        <f t="shared" si="0"/>
        <v>3.4903429574618414</v>
      </c>
      <c r="C59">
        <f t="shared" si="1"/>
        <v>1.25</v>
      </c>
    </row>
    <row r="60" spans="1:3" ht="13.5">
      <c r="A60">
        <v>1.5</v>
      </c>
      <c r="B60">
        <f t="shared" si="0"/>
        <v>4.4816890703380645</v>
      </c>
      <c r="C60">
        <f t="shared" si="1"/>
        <v>1.5</v>
      </c>
    </row>
    <row r="61" spans="1:3" ht="13.5">
      <c r="A61">
        <v>1.75</v>
      </c>
      <c r="B61">
        <f t="shared" si="0"/>
        <v>5.754602676005731</v>
      </c>
      <c r="C61">
        <f t="shared" si="1"/>
        <v>1.75</v>
      </c>
    </row>
    <row r="62" spans="1:3" ht="13.5">
      <c r="A62">
        <v>2</v>
      </c>
      <c r="B62">
        <f t="shared" si="0"/>
        <v>7.38905609893065</v>
      </c>
      <c r="C62">
        <f t="shared" si="1"/>
        <v>2</v>
      </c>
    </row>
    <row r="63" spans="1:3" ht="13.5">
      <c r="A63">
        <v>2.25</v>
      </c>
      <c r="B63">
        <f t="shared" si="0"/>
        <v>9.487735836358526</v>
      </c>
      <c r="C63">
        <f t="shared" si="1"/>
        <v>2.25</v>
      </c>
    </row>
    <row r="64" spans="1:3" ht="13.5">
      <c r="A64">
        <v>2.5</v>
      </c>
      <c r="B64">
        <f t="shared" si="0"/>
        <v>12.182493960703473</v>
      </c>
      <c r="C64">
        <f t="shared" si="1"/>
        <v>2.5</v>
      </c>
    </row>
    <row r="65" spans="1:3" ht="13.5">
      <c r="A65">
        <v>2.75</v>
      </c>
      <c r="B65">
        <f t="shared" si="0"/>
        <v>15.642631884188171</v>
      </c>
      <c r="C65">
        <f t="shared" si="1"/>
        <v>2.75</v>
      </c>
    </row>
    <row r="66" spans="1:3" ht="13.5">
      <c r="A66">
        <v>3</v>
      </c>
      <c r="B66">
        <f t="shared" si="0"/>
        <v>20.085536923187668</v>
      </c>
      <c r="C66">
        <f t="shared" si="1"/>
        <v>3</v>
      </c>
    </row>
  </sheetData>
  <printOptions gridLines="1" headings="1"/>
  <pageMargins left="1" right="1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8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customWidth="1"/>
    <col min="2" max="3" width="7.875" style="0" customWidth="1"/>
    <col min="4" max="4" width="3.625" style="0" customWidth="1"/>
    <col min="5" max="5" width="5.875" style="0" customWidth="1"/>
    <col min="6" max="8" width="8.125" style="0" customWidth="1"/>
    <col min="9" max="10" width="7.875" style="0" customWidth="1"/>
    <col min="11" max="11" width="8.125" style="0" customWidth="1"/>
    <col min="12" max="12" width="6.875" style="0" customWidth="1"/>
    <col min="13" max="14" width="7.875" style="0" customWidth="1"/>
    <col min="15" max="22" width="6.875" style="0" customWidth="1"/>
    <col min="23" max="16384" width="7.875" style="0" customWidth="1"/>
  </cols>
  <sheetData>
    <row r="1" spans="1:28" ht="13.5">
      <c r="A1" s="3" t="s">
        <v>86</v>
      </c>
      <c r="O1" s="3" t="s">
        <v>87</v>
      </c>
      <c r="Y1">
        <v>0.5</v>
      </c>
      <c r="Z1">
        <f>B5</f>
        <v>100</v>
      </c>
      <c r="AA1">
        <f>1+$C$5*(2-1)</f>
        <v>1.1</v>
      </c>
      <c r="AB1">
        <f>LN(AA1)</f>
        <v>0.09531017980432493</v>
      </c>
    </row>
    <row r="2" spans="1:28" ht="13.5">
      <c r="A2" s="3"/>
      <c r="F2" s="3" t="s">
        <v>88</v>
      </c>
      <c r="I2" s="3" t="s">
        <v>89</v>
      </c>
      <c r="O2" s="3" t="s">
        <v>90</v>
      </c>
      <c r="Y2">
        <v>0.5</v>
      </c>
      <c r="Z2">
        <f>-Z1*0.25</f>
        <v>-25</v>
      </c>
      <c r="AA2">
        <f>1+$C$5*(0.25-1)</f>
        <v>0.925</v>
      </c>
      <c r="AB2">
        <f>LN(AA2)</f>
        <v>-0.0779615414697118</v>
      </c>
    </row>
    <row r="3" spans="1:15" ht="13.5">
      <c r="A3" s="3" t="s">
        <v>91</v>
      </c>
      <c r="F3" s="42" t="s">
        <v>92</v>
      </c>
      <c r="G3" s="3" t="s">
        <v>93</v>
      </c>
      <c r="I3" s="42" t="s">
        <v>92</v>
      </c>
      <c r="J3" s="3" t="s">
        <v>94</v>
      </c>
      <c r="O3" s="4" t="s">
        <v>95</v>
      </c>
    </row>
    <row r="4" spans="2:28" ht="13.5">
      <c r="B4" s="10" t="s">
        <v>96</v>
      </c>
      <c r="C4" s="3" t="s">
        <v>97</v>
      </c>
      <c r="E4" s="12" t="s">
        <v>98</v>
      </c>
      <c r="F4" s="12" t="s">
        <v>99</v>
      </c>
      <c r="G4" s="12" t="s">
        <v>100</v>
      </c>
      <c r="H4" s="12" t="s">
        <v>101</v>
      </c>
      <c r="I4" s="12" t="s">
        <v>99</v>
      </c>
      <c r="J4" s="12" t="s">
        <v>102</v>
      </c>
      <c r="K4" s="12" t="s">
        <v>103</v>
      </c>
      <c r="L4" s="12" t="s">
        <v>101</v>
      </c>
      <c r="O4" s="3" t="s">
        <v>104</v>
      </c>
      <c r="Z4">
        <f>SUMPRODUCT(Z1:Z2,$Y$1:$Y$2)</f>
        <v>37.5</v>
      </c>
      <c r="AA4">
        <f>SUMPRODUCT(AA1:AA2,$Y$1:$Y$2)</f>
        <v>1.0125000000000002</v>
      </c>
      <c r="AB4">
        <f>SUMPRODUCT(AB1:AB2,$Y$1:$Y$2)</f>
        <v>0.008674319167306564</v>
      </c>
    </row>
    <row r="5" spans="2:28" ht="13.5">
      <c r="B5">
        <f>C5*C7</f>
        <v>100</v>
      </c>
      <c r="C5">
        <v>0.1</v>
      </c>
      <c r="E5">
        <v>0.01</v>
      </c>
      <c r="F5" s="31">
        <f>PERCENTILE($F$25:$F$525,E5)</f>
        <v>1567.5</v>
      </c>
      <c r="G5" s="31">
        <f>NORMINV(E5,$F$17,$F$18)</f>
        <v>-453.7012671117259</v>
      </c>
      <c r="H5" s="31">
        <f>[1]!genlinv(E5,$F$19,$F$20,$F$21)</f>
        <v>916.045654296875</v>
      </c>
      <c r="I5" s="31">
        <f>PERCENTILE($G$25:$G$525,E5)</f>
        <v>1245.894370910569</v>
      </c>
      <c r="J5" s="31">
        <f>EXP(NORMINV(E5,$H$17,$H$18))</f>
        <v>163.7248628857728</v>
      </c>
      <c r="K5" s="31">
        <f>[1]!LNORMINV(E5,$G$17,$G$18)</f>
        <v>412.1990657808246</v>
      </c>
      <c r="L5" s="31">
        <f>[1]!genlinv(E5,$G$19,$G$20,$G$21)</f>
        <v>-817.4708862304688</v>
      </c>
      <c r="O5" s="3" t="s">
        <v>105</v>
      </c>
      <c r="Z5">
        <f>[1]!STDEVPR(Z1:Z2,$Y$1:$Y$2)</f>
        <v>62.5</v>
      </c>
      <c r="AA5">
        <f>[1]!STDEVPR(AA1:AA2,$Y$1:$Y$2)</f>
        <v>0.0874999999999987</v>
      </c>
      <c r="AB5">
        <f>[1]!STDEVPR(AB1:AB2,$Y$1:$Y$2)</f>
        <v>0.08663586063701838</v>
      </c>
    </row>
    <row r="6" spans="2:12" ht="13.5">
      <c r="B6" s="12" t="s">
        <v>106</v>
      </c>
      <c r="C6" s="12" t="s">
        <v>106</v>
      </c>
      <c r="E6">
        <v>0.1</v>
      </c>
      <c r="F6" s="31">
        <f aca="true" t="shared" si="0" ref="F6:F15">PERCENTILE($F$25:$F$525,E6)</f>
        <v>1725.0000000000002</v>
      </c>
      <c r="G6" s="31">
        <f aca="true" t="shared" si="1" ref="G6:G15">NORMINV(E6,$F$17,$F$18)</f>
        <v>839.1618000102465</v>
      </c>
      <c r="H6" s="31">
        <f>[1]!genlinv(E6,$F$19,$F$20,$F$21)</f>
        <v>1593.7371826171875</v>
      </c>
      <c r="I6" s="31">
        <f aca="true" t="shared" si="2" ref="I6:I15">PERCENTILE($G$25:$G$525,E6)</f>
        <v>1744.7475177702659</v>
      </c>
      <c r="J6" s="31">
        <f aca="true" t="shared" si="3" ref="J6:J15">EXP(NORMINV(E6,$H$17,$H$18))</f>
        <v>588.9152364097417</v>
      </c>
      <c r="K6" s="31">
        <f>[1]!LNORMINV(E6,$G$17,$G$18)</f>
        <v>977.1040127505338</v>
      </c>
      <c r="L6" s="31">
        <f>[1]!genlinv(E6,$G$19,$G$20,$G$21)</f>
        <v>1328.9959716796875</v>
      </c>
    </row>
    <row r="7" spans="1:28" ht="13.5">
      <c r="A7" t="s">
        <v>107</v>
      </c>
      <c r="B7" s="31">
        <v>1000</v>
      </c>
      <c r="C7" s="31">
        <v>1000</v>
      </c>
      <c r="E7">
        <v>0.2</v>
      </c>
      <c r="F7" s="31">
        <f t="shared" si="0"/>
        <v>1900</v>
      </c>
      <c r="G7" s="31">
        <f t="shared" si="1"/>
        <v>1383.5466689471016</v>
      </c>
      <c r="H7" s="31">
        <f>[1]!genlinv(E7,$F$19,$F$20,$F$21)</f>
        <v>1879.0921630859375</v>
      </c>
      <c r="I7" s="31">
        <f t="shared" si="2"/>
        <v>2299.028792058816</v>
      </c>
      <c r="J7" s="31">
        <f t="shared" si="3"/>
        <v>1009.58118187674</v>
      </c>
      <c r="K7" s="31">
        <f>[1]!LNORMINV(E7,$G$17,$G$18)</f>
        <v>1405.3088376084456</v>
      </c>
      <c r="L7" s="31">
        <f>[1]!genlinv(E7,$G$19,$G$20,$G$21)</f>
        <v>2232.80712890625</v>
      </c>
      <c r="O7" s="3" t="s">
        <v>108</v>
      </c>
      <c r="Z7">
        <f>1000+Z4*100</f>
        <v>4750</v>
      </c>
      <c r="AB7">
        <f>LN(1000)+AB4*100</f>
        <v>7.775187195712793</v>
      </c>
    </row>
    <row r="8" spans="1:28" ht="13.5">
      <c r="A8" s="32">
        <f aca="true" ca="1" t="shared" si="4" ref="A8:A39">IF(RAND()&lt;0.5,2,0.25)</f>
        <v>0.25</v>
      </c>
      <c r="B8" s="33">
        <f>B7+$B$5*(A8-1)</f>
        <v>925</v>
      </c>
      <c r="C8" s="33">
        <f>C7*(1+$C$5*(A8-1))</f>
        <v>925</v>
      </c>
      <c r="D8" s="34"/>
      <c r="E8">
        <v>0.3</v>
      </c>
      <c r="F8" s="31">
        <f t="shared" si="0"/>
        <v>2075</v>
      </c>
      <c r="G8" s="31">
        <f t="shared" si="1"/>
        <v>1776.086866223996</v>
      </c>
      <c r="H8" s="31">
        <f>[1]!genlinv(E8,$F$19,$F$20,$F$21)</f>
        <v>2084.853515625</v>
      </c>
      <c r="I8" s="31">
        <f t="shared" si="2"/>
        <v>2853.310066347369</v>
      </c>
      <c r="J8" s="31">
        <f t="shared" si="3"/>
        <v>1489.1404755361111</v>
      </c>
      <c r="K8" s="31">
        <f>[1]!LNORMINV(E8,$G$17,$G$18)</f>
        <v>1826.329509869516</v>
      </c>
      <c r="L8" s="31">
        <f>[1]!genlinv(E8,$G$19,$G$20,$G$21)</f>
        <v>2884.51904296875</v>
      </c>
      <c r="O8" s="3" t="s">
        <v>109</v>
      </c>
      <c r="Z8">
        <f>Z5*(100^0.5)</f>
        <v>625</v>
      </c>
      <c r="AB8">
        <f>AB5*(100^0.5)</f>
        <v>0.8663586063701838</v>
      </c>
    </row>
    <row r="9" spans="1:15" ht="13.5">
      <c r="A9" s="32">
        <f ca="1" t="shared" si="4"/>
        <v>0.25</v>
      </c>
      <c r="B9" s="33">
        <f aca="true" t="shared" si="5" ref="B9:B24">B8+$B$5*(A9-1)</f>
        <v>850</v>
      </c>
      <c r="C9" s="33">
        <f aca="true" t="shared" si="6" ref="C9:C24">C8*(1+$C$5*(A9-1))</f>
        <v>855.625</v>
      </c>
      <c r="E9">
        <v>0.4</v>
      </c>
      <c r="F9" s="31">
        <f t="shared" si="0"/>
        <v>2250</v>
      </c>
      <c r="G9" s="31">
        <f t="shared" si="1"/>
        <v>2111.4996136531313</v>
      </c>
      <c r="H9" s="31">
        <f>[1]!genlinv(E9,$F$19,$F$20,$F$21)</f>
        <v>2260.669677734375</v>
      </c>
      <c r="I9" s="31">
        <f t="shared" si="2"/>
        <v>3407.591340635919</v>
      </c>
      <c r="J9" s="31">
        <f t="shared" si="3"/>
        <v>2075.7018622600986</v>
      </c>
      <c r="K9" s="31">
        <f>[1]!LNORMINV(E9,$G$17,$G$18)</f>
        <v>2284.671683206904</v>
      </c>
      <c r="L9" s="31">
        <f>[1]!genlinv(E9,$G$19,$G$20,$G$21)</f>
        <v>3441.3857421875</v>
      </c>
      <c r="O9" s="3" t="s">
        <v>110</v>
      </c>
    </row>
    <row r="10" spans="1:15" ht="13.5">
      <c r="A10" s="32">
        <f ca="1" t="shared" si="4"/>
        <v>2</v>
      </c>
      <c r="B10" s="33">
        <f t="shared" si="5"/>
        <v>950</v>
      </c>
      <c r="C10" s="33">
        <f t="shared" si="6"/>
        <v>941.1875000000001</v>
      </c>
      <c r="E10">
        <v>0.5</v>
      </c>
      <c r="F10" s="31">
        <f t="shared" si="0"/>
        <v>2425</v>
      </c>
      <c r="G10" s="31">
        <f t="shared" si="1"/>
        <v>2425</v>
      </c>
      <c r="H10" s="31">
        <f>[1]!genlinv(E10,$F$19,$F$20,$F$21)</f>
        <v>2425</v>
      </c>
      <c r="I10" s="31">
        <f t="shared" si="2"/>
        <v>3961.8726149244712</v>
      </c>
      <c r="J10" s="31">
        <f t="shared" si="3"/>
        <v>2831.208459512466</v>
      </c>
      <c r="K10" s="31">
        <f>[1]!LNORMINV(E10,$G$17,$G$18)</f>
        <v>2816.537333306346</v>
      </c>
      <c r="L10" s="31">
        <f>[1]!genlinv(E10,$G$19,$G$20,$G$21)</f>
        <v>3961.87255859375</v>
      </c>
      <c r="O10" s="3" t="s">
        <v>111</v>
      </c>
    </row>
    <row r="11" spans="1:15" ht="13.5">
      <c r="A11" s="32">
        <f ca="1" t="shared" si="4"/>
        <v>0.25</v>
      </c>
      <c r="B11" s="33">
        <f t="shared" si="5"/>
        <v>875</v>
      </c>
      <c r="C11" s="33">
        <f t="shared" si="6"/>
        <v>870.5984375000002</v>
      </c>
      <c r="E11">
        <v>0.6</v>
      </c>
      <c r="F11" s="31">
        <f t="shared" si="0"/>
        <v>2600</v>
      </c>
      <c r="G11" s="31">
        <f t="shared" si="1"/>
        <v>2738.5003863468687</v>
      </c>
      <c r="H11" s="31">
        <f>[1]!genlinv(E11,$F$19,$F$20,$F$21)</f>
        <v>2589.330322265625</v>
      </c>
      <c r="I11" s="31">
        <f t="shared" si="2"/>
        <v>4516.153889213023</v>
      </c>
      <c r="J11" s="31">
        <f t="shared" si="3"/>
        <v>3861.701666773631</v>
      </c>
      <c r="K11" s="31">
        <f>[1]!LNORMINV(E11,$G$17,$G$18)</f>
        <v>3472.219929111804</v>
      </c>
      <c r="L11" s="31">
        <f>[1]!genlinv(E11,$G$19,$G$20,$G$21)</f>
        <v>4482.359375</v>
      </c>
      <c r="O11" s="3" t="s">
        <v>112</v>
      </c>
    </row>
    <row r="12" spans="1:15" ht="13.5">
      <c r="A12" s="32">
        <f ca="1" t="shared" si="4"/>
        <v>2</v>
      </c>
      <c r="B12" s="33">
        <f t="shared" si="5"/>
        <v>975</v>
      </c>
      <c r="C12" s="33">
        <f t="shared" si="6"/>
        <v>957.6582812500003</v>
      </c>
      <c r="E12">
        <v>0.7</v>
      </c>
      <c r="F12" s="31">
        <f t="shared" si="0"/>
        <v>2775</v>
      </c>
      <c r="G12" s="31">
        <f t="shared" si="1"/>
        <v>3073.913133776004</v>
      </c>
      <c r="H12" s="31">
        <f>[1]!genlinv(E12,$F$19,$F$20,$F$21)</f>
        <v>2765.146484375</v>
      </c>
      <c r="I12" s="31">
        <f t="shared" si="2"/>
        <v>5070.435163501574</v>
      </c>
      <c r="J12" s="31">
        <f t="shared" si="3"/>
        <v>5382.7973068351275</v>
      </c>
      <c r="K12" s="31">
        <f>[1]!LNORMINV(E12,$G$17,$G$18)</f>
        <v>4343.620637480252</v>
      </c>
      <c r="L12" s="31">
        <f>[1]!genlinv(E12,$G$19,$G$20,$G$21)</f>
        <v>5039.22607421875</v>
      </c>
      <c r="O12" s="3" t="s">
        <v>113</v>
      </c>
    </row>
    <row r="13" spans="1:15" ht="13.5">
      <c r="A13" s="32">
        <f ca="1" t="shared" si="4"/>
        <v>0.25</v>
      </c>
      <c r="B13" s="33">
        <f t="shared" si="5"/>
        <v>900</v>
      </c>
      <c r="C13" s="33">
        <f t="shared" si="6"/>
        <v>885.8339101562503</v>
      </c>
      <c r="E13">
        <v>0.8</v>
      </c>
      <c r="F13" s="31">
        <f t="shared" si="0"/>
        <v>2950</v>
      </c>
      <c r="G13" s="31">
        <f t="shared" si="1"/>
        <v>3466.4533310528986</v>
      </c>
      <c r="H13" s="31">
        <f>[1]!genlinv(E13,$F$19,$F$20,$F$21)</f>
        <v>2970.90771484375</v>
      </c>
      <c r="I13" s="31">
        <f t="shared" si="2"/>
        <v>5624.716437790126</v>
      </c>
      <c r="J13" s="31">
        <f t="shared" si="3"/>
        <v>7939.669919673288</v>
      </c>
      <c r="K13" s="31">
        <f>[1]!LNORMINV(E13,$G$17,$G$18)</f>
        <v>5644.938918486132</v>
      </c>
      <c r="L13" s="31">
        <f>[1]!genlinv(E13,$G$19,$G$20,$G$21)</f>
        <v>5690.93798828125</v>
      </c>
      <c r="O13" s="3" t="s">
        <v>114</v>
      </c>
    </row>
    <row r="14" spans="1:12" ht="13.5">
      <c r="A14" s="32">
        <f ca="1" t="shared" si="4"/>
        <v>2</v>
      </c>
      <c r="B14" s="33">
        <f t="shared" si="5"/>
        <v>1000</v>
      </c>
      <c r="C14" s="33">
        <f t="shared" si="6"/>
        <v>974.4173011718755</v>
      </c>
      <c r="E14">
        <v>0.9</v>
      </c>
      <c r="F14" s="31">
        <f t="shared" si="0"/>
        <v>3125</v>
      </c>
      <c r="G14" s="31">
        <f t="shared" si="1"/>
        <v>4010.838199989754</v>
      </c>
      <c r="H14" s="31">
        <f>[1]!genlinv(E14,$F$19,$F$20,$F$21)</f>
        <v>3256.262939453125</v>
      </c>
      <c r="I14" s="31">
        <f t="shared" si="2"/>
        <v>6178.997712078677</v>
      </c>
      <c r="J14" s="31">
        <f t="shared" si="3"/>
        <v>13611.027267832389</v>
      </c>
      <c r="K14" s="31">
        <f>[1]!LNORMINV(E14,$G$17,$G$18)</f>
        <v>8118.76979972426</v>
      </c>
      <c r="L14" s="31">
        <f>[1]!genlinv(E14,$G$19,$G$20,$G$21)</f>
        <v>6594.7490234375</v>
      </c>
    </row>
    <row r="15" spans="1:15" ht="13.5">
      <c r="A15" s="32">
        <f ca="1" t="shared" si="4"/>
        <v>2</v>
      </c>
      <c r="B15" s="33">
        <f t="shared" si="5"/>
        <v>1100</v>
      </c>
      <c r="C15" s="33">
        <f t="shared" si="6"/>
        <v>1071.859031289063</v>
      </c>
      <c r="E15">
        <v>0.99</v>
      </c>
      <c r="F15" s="31">
        <f t="shared" si="0"/>
        <v>3282.5</v>
      </c>
      <c r="G15" s="31">
        <f t="shared" si="1"/>
        <v>5303.701267111726</v>
      </c>
      <c r="H15" s="31">
        <f>[1]!genlinv(E15,$F$19,$F$20,$F$21)</f>
        <v>3933.954345703125</v>
      </c>
      <c r="I15" s="31">
        <f t="shared" si="2"/>
        <v>6677.850858938374</v>
      </c>
      <c r="J15" s="31">
        <f t="shared" si="3"/>
        <v>48958.60775163608</v>
      </c>
      <c r="K15" s="31">
        <f>[1]!LNORMINV(E15,$G$17,$G$18)</f>
        <v>19245.270570619195</v>
      </c>
      <c r="L15" s="31">
        <f>[1]!genlinv(E15,$G$19,$G$20,$G$21)</f>
        <v>8741.2158203125</v>
      </c>
      <c r="O15" t="s">
        <v>115</v>
      </c>
    </row>
    <row r="16" spans="1:19" ht="13.5">
      <c r="A16" s="32">
        <f ca="1" t="shared" si="4"/>
        <v>0.25</v>
      </c>
      <c r="B16" s="33">
        <f t="shared" si="5"/>
        <v>1025</v>
      </c>
      <c r="C16" s="33">
        <f t="shared" si="6"/>
        <v>991.4696039423834</v>
      </c>
      <c r="D16" s="41" t="str">
        <f>IF(H27="","Make SimTable E24:G525, copy H25 down!","")</f>
        <v>Make SimTable E24:G525, copy H25 down!</v>
      </c>
      <c r="I16" s="30" t="s">
        <v>116</v>
      </c>
      <c r="J16" s="5"/>
      <c r="K16" s="35"/>
      <c r="L16" s="5"/>
      <c r="P16" s="3" t="s">
        <v>88</v>
      </c>
      <c r="S16" s="3" t="s">
        <v>89</v>
      </c>
    </row>
    <row r="17" spans="1:23" ht="13.5">
      <c r="A17" s="32">
        <f ca="1" t="shared" si="4"/>
        <v>0.25</v>
      </c>
      <c r="B17" s="33">
        <f t="shared" si="5"/>
        <v>950</v>
      </c>
      <c r="C17" s="33">
        <f t="shared" si="6"/>
        <v>917.1093836467047</v>
      </c>
      <c r="E17" s="23" t="s">
        <v>0</v>
      </c>
      <c r="F17" s="31">
        <f>AVERAGE(F25:F525)</f>
        <v>2425</v>
      </c>
      <c r="G17" s="31">
        <f>AVERAGE(G25:G525)</f>
        <v>3961.8726149244712</v>
      </c>
      <c r="H17">
        <f>AVERAGE(H25:H525)</f>
        <v>7.94845891698683</v>
      </c>
      <c r="I17" s="30" t="s">
        <v>117</v>
      </c>
      <c r="J17" s="5"/>
      <c r="K17" s="35"/>
      <c r="L17" s="5"/>
      <c r="O17" s="12" t="s">
        <v>118</v>
      </c>
      <c r="P17" s="46" t="s">
        <v>119</v>
      </c>
      <c r="Q17" s="12" t="s">
        <v>100</v>
      </c>
      <c r="R17" s="12" t="s">
        <v>101</v>
      </c>
      <c r="S17" s="46" t="s">
        <v>119</v>
      </c>
      <c r="T17" s="12" t="s">
        <v>102</v>
      </c>
      <c r="U17" s="12" t="s">
        <v>103</v>
      </c>
      <c r="V17" s="12" t="s">
        <v>101</v>
      </c>
      <c r="W17" s="12"/>
    </row>
    <row r="18" spans="1:23" ht="13.5">
      <c r="A18" s="32">
        <f ca="1" t="shared" si="4"/>
        <v>2</v>
      </c>
      <c r="B18" s="33">
        <f t="shared" si="5"/>
        <v>1050</v>
      </c>
      <c r="C18" s="33">
        <f t="shared" si="6"/>
        <v>1008.8203220113753</v>
      </c>
      <c r="E18" s="23" t="s">
        <v>1</v>
      </c>
      <c r="F18" s="31">
        <f>STDEV(F25:F525)</f>
        <v>1237.4368670764582</v>
      </c>
      <c r="G18" s="31">
        <f>STDEV(G25:G525)</f>
        <v>3919.3604773415555</v>
      </c>
      <c r="H18">
        <f>STDEV(H25:H525)</f>
        <v>1.2252160910073684</v>
      </c>
      <c r="I18" s="30" t="s">
        <v>120</v>
      </c>
      <c r="J18" s="5"/>
      <c r="K18" s="35"/>
      <c r="L18" s="30" t="s">
        <v>121</v>
      </c>
      <c r="O18">
        <f ca="1">RAND()</f>
        <v>0.7274584074225388</v>
      </c>
      <c r="P18" s="31">
        <f>PERCENTILE($F$25:$F$525,O18)</f>
        <v>2823.0522129894425</v>
      </c>
      <c r="Q18" s="31">
        <f>NORMINV(O18,$F$17,$F$18)</f>
        <v>3173.827085290177</v>
      </c>
      <c r="R18" s="31">
        <f>[1]!genlinv(O18,$F$19,$F$20,$F$21)</f>
        <v>2817.519287109375</v>
      </c>
      <c r="S18" s="31">
        <f>PERCENTILE($G$25:$G$525,O18)</f>
        <v>5222.631974062564</v>
      </c>
      <c r="T18" s="31">
        <f>EXP(NORMINV(O18,$H$17,$H$18))</f>
        <v>5942.532551797934</v>
      </c>
      <c r="U18" s="31">
        <f>[1]!LNORMINV(O18,$G$17,$G$18)</f>
        <v>4643.222299715871</v>
      </c>
      <c r="V18" s="31">
        <f>[1]!genlinv(O18,$G$19,$G$20,$G$21)</f>
        <v>5205.107421875</v>
      </c>
      <c r="W18" s="31"/>
    </row>
    <row r="19" spans="1:12" ht="13.5">
      <c r="A19" s="32">
        <f ca="1" t="shared" si="4"/>
        <v>0.25</v>
      </c>
      <c r="B19" s="33">
        <f t="shared" si="5"/>
        <v>975</v>
      </c>
      <c r="C19" s="33">
        <f t="shared" si="6"/>
        <v>933.1587978605222</v>
      </c>
      <c r="E19" s="10" t="s">
        <v>122</v>
      </c>
      <c r="F19" s="31">
        <f>PERCENTILE(F25:F525,0.25)</f>
        <v>1987.5</v>
      </c>
      <c r="G19" s="31">
        <f>PERCENTILE(G25:G525,0.25)</f>
        <v>2576.1694292030925</v>
      </c>
      <c r="H19" s="32"/>
      <c r="I19" s="30" t="s">
        <v>123</v>
      </c>
      <c r="J19" s="5"/>
      <c r="K19" s="5"/>
      <c r="L19" s="5"/>
    </row>
    <row r="20" spans="1:19" ht="13.5">
      <c r="A20" s="32">
        <f ca="1" t="shared" si="4"/>
        <v>0.25</v>
      </c>
      <c r="B20" s="33">
        <f t="shared" si="5"/>
        <v>900</v>
      </c>
      <c r="C20" s="33">
        <f t="shared" si="6"/>
        <v>863.171888020983</v>
      </c>
      <c r="E20" s="10" t="s">
        <v>124</v>
      </c>
      <c r="F20" s="31">
        <f>PERCENTILE(F25:F525,0.5)</f>
        <v>2425</v>
      </c>
      <c r="G20" s="31">
        <f>PERCENTILE(G25:G525,0.5)</f>
        <v>3961.8726149244712</v>
      </c>
      <c r="H20" s="32"/>
      <c r="I20" s="30" t="s">
        <v>125</v>
      </c>
      <c r="J20" s="5"/>
      <c r="K20" s="5" t="s">
        <v>126</v>
      </c>
      <c r="P20" s="12" t="s">
        <v>127</v>
      </c>
      <c r="Q20" s="12" t="s">
        <v>128</v>
      </c>
      <c r="S20" t="s">
        <v>129</v>
      </c>
    </row>
    <row r="21" spans="1:19" ht="13.5">
      <c r="A21" s="32">
        <f ca="1" t="shared" si="4"/>
        <v>2</v>
      </c>
      <c r="B21" s="33">
        <f t="shared" si="5"/>
        <v>1000</v>
      </c>
      <c r="C21" s="33">
        <f t="shared" si="6"/>
        <v>949.4890768230814</v>
      </c>
      <c r="D21" s="3"/>
      <c r="E21" s="10" t="s">
        <v>130</v>
      </c>
      <c r="F21" s="31">
        <f>PERCENTILE(F25:F525,0.75)</f>
        <v>2862.5</v>
      </c>
      <c r="G21" s="31">
        <f>PERCENTILE(G25:G525,0.75)</f>
        <v>5347.57580064585</v>
      </c>
      <c r="H21" s="32"/>
      <c r="I21" s="30" t="s">
        <v>131</v>
      </c>
      <c r="J21" s="5"/>
      <c r="K21" s="30" t="s">
        <v>132</v>
      </c>
      <c r="O21" s="10" t="s">
        <v>133</v>
      </c>
      <c r="P21" s="47">
        <f>F20-F19</f>
        <v>437.5</v>
      </c>
      <c r="Q21" s="31">
        <f>G20-G19</f>
        <v>1385.7031857213788</v>
      </c>
      <c r="R21" s="31"/>
      <c r="S21" t="s">
        <v>134</v>
      </c>
    </row>
    <row r="22" spans="1:19" ht="13.5">
      <c r="A22" s="32">
        <f ca="1" t="shared" si="4"/>
        <v>2</v>
      </c>
      <c r="B22" s="33">
        <f t="shared" si="5"/>
        <v>1100</v>
      </c>
      <c r="C22" s="33">
        <f t="shared" si="6"/>
        <v>1044.4379845053895</v>
      </c>
      <c r="F22" s="3" t="s">
        <v>135</v>
      </c>
      <c r="I22" s="30" t="s">
        <v>136</v>
      </c>
      <c r="J22" s="5"/>
      <c r="K22" s="5"/>
      <c r="L22" s="30" t="s">
        <v>137</v>
      </c>
      <c r="O22" s="10" t="s">
        <v>138</v>
      </c>
      <c r="P22" s="48">
        <f>F21-F20</f>
        <v>437.5</v>
      </c>
      <c r="Q22" s="31">
        <f>G21-G20</f>
        <v>1385.7031857213788</v>
      </c>
      <c r="S22" t="s">
        <v>139</v>
      </c>
    </row>
    <row r="23" spans="1:19" ht="13.5">
      <c r="A23" s="32">
        <f ca="1" t="shared" si="4"/>
        <v>0.25</v>
      </c>
      <c r="B23" s="33">
        <f t="shared" si="5"/>
        <v>1025</v>
      </c>
      <c r="C23" s="33">
        <f t="shared" si="6"/>
        <v>966.1051356674853</v>
      </c>
      <c r="E23" s="3"/>
      <c r="F23" s="12" t="s">
        <v>127</v>
      </c>
      <c r="G23" s="12" t="s">
        <v>128</v>
      </c>
      <c r="I23" s="30" t="s">
        <v>140</v>
      </c>
      <c r="J23" s="5"/>
      <c r="K23" s="35"/>
      <c r="L23" s="5"/>
      <c r="O23" s="10" t="s">
        <v>141</v>
      </c>
      <c r="P23">
        <f>F20/F19</f>
        <v>1.220125786163522</v>
      </c>
      <c r="Q23" s="49">
        <f>G20/G19</f>
        <v>1.5378928769254239</v>
      </c>
      <c r="S23" t="s">
        <v>142</v>
      </c>
    </row>
    <row r="24" spans="1:19" ht="13.5">
      <c r="A24" s="32">
        <f ca="1" t="shared" si="4"/>
        <v>2</v>
      </c>
      <c r="B24" s="33">
        <f t="shared" si="5"/>
        <v>1125</v>
      </c>
      <c r="C24" s="33">
        <f t="shared" si="6"/>
        <v>1062.715649234234</v>
      </c>
      <c r="E24" s="36" t="s">
        <v>143</v>
      </c>
      <c r="F24" s="37">
        <f>B107</f>
        <v>2425</v>
      </c>
      <c r="G24" s="37">
        <f>C107</f>
        <v>2831.2084595124675</v>
      </c>
      <c r="H24" s="12" t="s">
        <v>144</v>
      </c>
      <c r="I24" s="30" t="s">
        <v>145</v>
      </c>
      <c r="J24" s="5"/>
      <c r="K24" s="35"/>
      <c r="L24" s="5"/>
      <c r="O24" s="10" t="s">
        <v>146</v>
      </c>
      <c r="P24">
        <f>F21/F20</f>
        <v>1.1804123711340206</v>
      </c>
      <c r="Q24" s="50">
        <f>G21/G20</f>
        <v>1.3497596516610355</v>
      </c>
      <c r="S24" t="s">
        <v>147</v>
      </c>
    </row>
    <row r="25" spans="1:19" ht="13.5">
      <c r="A25" s="32">
        <f ca="1" t="shared" si="4"/>
        <v>2</v>
      </c>
      <c r="B25" s="33">
        <f aca="true" t="shared" si="7" ref="B25:B40">B24+$B$5*(A25-1)</f>
        <v>1225</v>
      </c>
      <c r="C25" s="33">
        <f aca="true" t="shared" si="8" ref="C25:C40">C24*(1+$C$5*(A25-1))</f>
        <v>1168.9872141576575</v>
      </c>
      <c r="E25">
        <v>0</v>
      </c>
      <c r="F25" s="31">
        <v>1550</v>
      </c>
      <c r="G25" s="31">
        <v>1190.4662434817137</v>
      </c>
      <c r="H25">
        <f>LN(G25)</f>
        <v>7.082100310616648</v>
      </c>
      <c r="I25" s="30" t="s">
        <v>148</v>
      </c>
      <c r="J25" s="5"/>
      <c r="K25" s="35"/>
      <c r="L25" s="5"/>
      <c r="O25" s="10" t="s">
        <v>124</v>
      </c>
      <c r="P25" s="31">
        <f>F20</f>
        <v>2425</v>
      </c>
      <c r="Q25" s="31">
        <f>G20</f>
        <v>3961.8726149244712</v>
      </c>
      <c r="S25" t="s">
        <v>149</v>
      </c>
    </row>
    <row r="26" spans="1:19" ht="13.5">
      <c r="A26" s="32">
        <f ca="1" t="shared" si="4"/>
        <v>0.25</v>
      </c>
      <c r="B26" s="33">
        <f t="shared" si="7"/>
        <v>1150</v>
      </c>
      <c r="C26" s="33">
        <f t="shared" si="8"/>
        <v>1081.3131730958332</v>
      </c>
      <c r="E26">
        <v>0.002</v>
      </c>
      <c r="F26" s="31">
        <v>3300</v>
      </c>
      <c r="G26" s="31">
        <v>6733.278986367229</v>
      </c>
      <c r="H26">
        <f>LN(G26)</f>
        <v>8.814817523357013</v>
      </c>
      <c r="I26" s="30" t="s">
        <v>150</v>
      </c>
      <c r="J26" s="5"/>
      <c r="K26" s="35"/>
      <c r="L26" s="5"/>
      <c r="S26" t="s">
        <v>151</v>
      </c>
    </row>
    <row r="27" spans="1:19" ht="13.5">
      <c r="A27" s="32">
        <f ca="1" t="shared" si="4"/>
        <v>0.25</v>
      </c>
      <c r="B27" s="33">
        <f t="shared" si="7"/>
        <v>1075</v>
      </c>
      <c r="C27" s="33">
        <f t="shared" si="8"/>
        <v>1000.2146851136458</v>
      </c>
      <c r="F27" s="31"/>
      <c r="G27" s="31"/>
      <c r="I27" s="30" t="s">
        <v>152</v>
      </c>
      <c r="J27" s="5"/>
      <c r="K27" s="35"/>
      <c r="L27" s="5"/>
      <c r="Q27">
        <f>LN(Q25)</f>
        <v>8.284472075031491</v>
      </c>
      <c r="S27" t="s">
        <v>153</v>
      </c>
    </row>
    <row r="28" spans="1:19" ht="13.5">
      <c r="A28" s="32">
        <f ca="1" t="shared" si="4"/>
        <v>2</v>
      </c>
      <c r="B28" s="33">
        <f t="shared" si="7"/>
        <v>1175</v>
      </c>
      <c r="C28" s="33">
        <f t="shared" si="8"/>
        <v>1100.2361536250105</v>
      </c>
      <c r="F28" s="31"/>
      <c r="G28" s="31"/>
      <c r="I28" s="30" t="s">
        <v>154</v>
      </c>
      <c r="J28" s="5"/>
      <c r="K28" s="35"/>
      <c r="L28" s="5"/>
      <c r="O28" s="10" t="s">
        <v>0</v>
      </c>
      <c r="P28" s="31">
        <f>F17</f>
        <v>2425</v>
      </c>
      <c r="Q28">
        <f>H17</f>
        <v>7.94845891698683</v>
      </c>
      <c r="R28" s="3" t="s">
        <v>155</v>
      </c>
      <c r="S28" t="s">
        <v>156</v>
      </c>
    </row>
    <row r="29" spans="1:19" ht="13.5">
      <c r="A29" s="32">
        <f ca="1" t="shared" si="4"/>
        <v>0.25</v>
      </c>
      <c r="B29" s="33">
        <f t="shared" si="7"/>
        <v>1100</v>
      </c>
      <c r="C29" s="33">
        <f t="shared" si="8"/>
        <v>1017.7184421031347</v>
      </c>
      <c r="F29" s="31"/>
      <c r="G29" s="31"/>
      <c r="I29" s="30" t="s">
        <v>157</v>
      </c>
      <c r="J29" s="5"/>
      <c r="K29" s="35"/>
      <c r="L29" s="5"/>
      <c r="S29" t="s">
        <v>158</v>
      </c>
    </row>
    <row r="30" spans="1:19" ht="13.5">
      <c r="A30" s="32">
        <f ca="1" t="shared" si="4"/>
        <v>2</v>
      </c>
      <c r="B30" s="33">
        <f t="shared" si="7"/>
        <v>1200</v>
      </c>
      <c r="C30" s="33">
        <f t="shared" si="8"/>
        <v>1119.4902863134482</v>
      </c>
      <c r="F30" s="31"/>
      <c r="G30" s="31"/>
      <c r="I30" s="30" t="s">
        <v>159</v>
      </c>
      <c r="J30" s="5"/>
      <c r="K30" s="35"/>
      <c r="L30" s="35"/>
      <c r="P30">
        <f>P21/0.675</f>
        <v>648.1481481481482</v>
      </c>
      <c r="Q30">
        <f>LN(Q23)/0.675</f>
        <v>0.6376492115021829</v>
      </c>
      <c r="S30" t="s">
        <v>160</v>
      </c>
    </row>
    <row r="31" spans="1:19" ht="13.5">
      <c r="A31" s="32">
        <f ca="1" t="shared" si="4"/>
        <v>2</v>
      </c>
      <c r="B31" s="33">
        <f t="shared" si="7"/>
        <v>1300</v>
      </c>
      <c r="C31" s="33">
        <f t="shared" si="8"/>
        <v>1231.439314944793</v>
      </c>
      <c r="F31" s="31"/>
      <c r="G31" s="31"/>
      <c r="I31" s="30" t="s">
        <v>161</v>
      </c>
      <c r="J31" s="5"/>
      <c r="K31" s="35"/>
      <c r="L31" s="35"/>
      <c r="O31" s="51" t="s">
        <v>1</v>
      </c>
      <c r="P31" s="31">
        <f>F18</f>
        <v>1237.4368670764582</v>
      </c>
      <c r="Q31">
        <f>H18</f>
        <v>1.2252160910073684</v>
      </c>
      <c r="R31" s="3" t="s">
        <v>162</v>
      </c>
      <c r="S31" t="s">
        <v>163</v>
      </c>
    </row>
    <row r="32" spans="1:19" ht="13.5">
      <c r="A32" s="32">
        <f ca="1" t="shared" si="4"/>
        <v>0.25</v>
      </c>
      <c r="B32" s="33">
        <f t="shared" si="7"/>
        <v>1225</v>
      </c>
      <c r="C32" s="33">
        <f t="shared" si="8"/>
        <v>1139.0813663239337</v>
      </c>
      <c r="F32" s="31"/>
      <c r="G32" s="31"/>
      <c r="I32" s="30" t="s">
        <v>164</v>
      </c>
      <c r="J32" s="5"/>
      <c r="K32" s="35"/>
      <c r="L32" s="35"/>
      <c r="S32" s="3" t="s">
        <v>165</v>
      </c>
    </row>
    <row r="33" spans="1:19" ht="13.5">
      <c r="A33" s="32">
        <f ca="1" t="shared" si="4"/>
        <v>2</v>
      </c>
      <c r="B33" s="33">
        <f t="shared" si="7"/>
        <v>1325</v>
      </c>
      <c r="C33" s="33">
        <f t="shared" si="8"/>
        <v>1252.9895029563272</v>
      </c>
      <c r="F33" s="31"/>
      <c r="G33" s="31"/>
      <c r="I33" s="30" t="s">
        <v>166</v>
      </c>
      <c r="J33" s="5"/>
      <c r="K33" s="35"/>
      <c r="L33" s="35"/>
      <c r="S33" t="s">
        <v>167</v>
      </c>
    </row>
    <row r="34" spans="1:19" ht="13.5">
      <c r="A34" s="32">
        <f ca="1" t="shared" si="4"/>
        <v>2</v>
      </c>
      <c r="B34" s="33">
        <f t="shared" si="7"/>
        <v>1425</v>
      </c>
      <c r="C34" s="33">
        <f t="shared" si="8"/>
        <v>1378.28845325196</v>
      </c>
      <c r="F34" s="31"/>
      <c r="G34" s="31"/>
      <c r="I34" s="30" t="s">
        <v>168</v>
      </c>
      <c r="J34" s="5"/>
      <c r="K34" s="35"/>
      <c r="L34" s="35"/>
      <c r="S34" t="s">
        <v>169</v>
      </c>
    </row>
    <row r="35" spans="1:19" ht="13.5">
      <c r="A35" s="32">
        <f ca="1" t="shared" si="4"/>
        <v>2</v>
      </c>
      <c r="B35" s="33">
        <f t="shared" si="7"/>
        <v>1525</v>
      </c>
      <c r="C35" s="33">
        <f t="shared" si="8"/>
        <v>1516.1172985771561</v>
      </c>
      <c r="F35" s="31"/>
      <c r="G35" s="31"/>
      <c r="S35" t="s">
        <v>170</v>
      </c>
    </row>
    <row r="36" spans="1:19" ht="13.5">
      <c r="A36" s="32">
        <f ca="1" t="shared" si="4"/>
        <v>0.25</v>
      </c>
      <c r="B36" s="33">
        <f t="shared" si="7"/>
        <v>1450</v>
      </c>
      <c r="C36" s="33">
        <f t="shared" si="8"/>
        <v>1402.4085011838695</v>
      </c>
      <c r="J36" s="5"/>
      <c r="K36" s="35"/>
      <c r="L36" s="35"/>
      <c r="S36" t="s">
        <v>171</v>
      </c>
    </row>
    <row r="37" spans="1:19" ht="13.5">
      <c r="A37" s="32">
        <f ca="1" t="shared" si="4"/>
        <v>2</v>
      </c>
      <c r="B37" s="33">
        <f t="shared" si="7"/>
        <v>1550</v>
      </c>
      <c r="C37" s="33">
        <f t="shared" si="8"/>
        <v>1542.6493513022565</v>
      </c>
      <c r="K37" s="31"/>
      <c r="L37" s="31"/>
      <c r="S37" t="s">
        <v>172</v>
      </c>
    </row>
    <row r="38" spans="1:19" ht="13.5">
      <c r="A38" s="32">
        <f ca="1" t="shared" si="4"/>
        <v>0.25</v>
      </c>
      <c r="B38" s="33">
        <f t="shared" si="7"/>
        <v>1475</v>
      </c>
      <c r="C38" s="33">
        <f t="shared" si="8"/>
        <v>1426.9506499545873</v>
      </c>
      <c r="K38" s="31"/>
      <c r="L38" s="31"/>
      <c r="S38" t="s">
        <v>173</v>
      </c>
    </row>
    <row r="39" spans="1:19" ht="13.5">
      <c r="A39" s="32">
        <f ca="1" t="shared" si="4"/>
        <v>0.25</v>
      </c>
      <c r="B39" s="33">
        <f t="shared" si="7"/>
        <v>1400</v>
      </c>
      <c r="C39" s="33">
        <f t="shared" si="8"/>
        <v>1319.9293512079932</v>
      </c>
      <c r="K39" s="31"/>
      <c r="L39" s="31"/>
      <c r="S39" t="s">
        <v>174</v>
      </c>
    </row>
    <row r="40" spans="1:12" ht="13.5">
      <c r="A40" s="32">
        <f aca="true" ca="1" t="shared" si="9" ref="A40:A71">IF(RAND()&lt;0.5,2,0.25)</f>
        <v>2</v>
      </c>
      <c r="B40" s="33">
        <f t="shared" si="7"/>
        <v>1500</v>
      </c>
      <c r="C40" s="33">
        <f t="shared" si="8"/>
        <v>1451.9222863287928</v>
      </c>
      <c r="K40" s="31"/>
      <c r="L40" s="31"/>
    </row>
    <row r="41" spans="1:12" ht="13.5">
      <c r="A41" s="32">
        <f ca="1" t="shared" si="9"/>
        <v>0.25</v>
      </c>
      <c r="B41" s="33">
        <f aca="true" t="shared" si="10" ref="B41:B56">B40+$B$5*(A41-1)</f>
        <v>1425</v>
      </c>
      <c r="C41" s="33">
        <f aca="true" t="shared" si="11" ref="C41:C56">C40*(1+$C$5*(A41-1))</f>
        <v>1343.0281148541335</v>
      </c>
      <c r="K41" s="31"/>
      <c r="L41" s="31"/>
    </row>
    <row r="42" spans="1:12" ht="13.5">
      <c r="A42" s="32">
        <f ca="1" t="shared" si="9"/>
        <v>0.25</v>
      </c>
      <c r="B42" s="33">
        <f t="shared" si="10"/>
        <v>1350</v>
      </c>
      <c r="C42" s="33">
        <f t="shared" si="11"/>
        <v>1242.3010062400735</v>
      </c>
      <c r="K42" s="31"/>
      <c r="L42" s="31"/>
    </row>
    <row r="43" spans="1:12" ht="13.5">
      <c r="A43" s="32">
        <f ca="1" t="shared" si="9"/>
        <v>0.25</v>
      </c>
      <c r="B43" s="33">
        <f t="shared" si="10"/>
        <v>1275</v>
      </c>
      <c r="C43" s="33">
        <f t="shared" si="11"/>
        <v>1149.128430772068</v>
      </c>
      <c r="K43" s="31"/>
      <c r="L43" s="31"/>
    </row>
    <row r="44" spans="1:12" ht="13.5">
      <c r="A44" s="32">
        <f ca="1" t="shared" si="9"/>
        <v>0.25</v>
      </c>
      <c r="B44" s="33">
        <f t="shared" si="10"/>
        <v>1200</v>
      </c>
      <c r="C44" s="33">
        <f t="shared" si="11"/>
        <v>1062.943798464163</v>
      </c>
      <c r="K44" s="31"/>
      <c r="L44" s="31"/>
    </row>
    <row r="45" spans="1:12" ht="13.5">
      <c r="A45" s="32">
        <f ca="1" t="shared" si="9"/>
        <v>2</v>
      </c>
      <c r="B45" s="33">
        <f t="shared" si="10"/>
        <v>1300</v>
      </c>
      <c r="C45" s="33">
        <f t="shared" si="11"/>
        <v>1169.2381783105793</v>
      </c>
      <c r="K45" s="31"/>
      <c r="L45" s="31"/>
    </row>
    <row r="46" spans="1:12" ht="13.5">
      <c r="A46" s="32">
        <f ca="1" t="shared" si="9"/>
        <v>2</v>
      </c>
      <c r="B46" s="33">
        <f t="shared" si="10"/>
        <v>1400</v>
      </c>
      <c r="C46" s="33">
        <f t="shared" si="11"/>
        <v>1286.1619961416372</v>
      </c>
      <c r="K46" s="31"/>
      <c r="L46" s="31"/>
    </row>
    <row r="47" spans="1:12" ht="13.5">
      <c r="A47" s="32">
        <f ca="1" t="shared" si="9"/>
        <v>2</v>
      </c>
      <c r="B47" s="33">
        <f t="shared" si="10"/>
        <v>1500</v>
      </c>
      <c r="C47" s="33">
        <f t="shared" si="11"/>
        <v>1414.778195755801</v>
      </c>
      <c r="K47" s="31"/>
      <c r="L47" s="31"/>
    </row>
    <row r="48" spans="1:12" ht="13.5">
      <c r="A48" s="32">
        <f ca="1" t="shared" si="9"/>
        <v>2</v>
      </c>
      <c r="B48" s="33">
        <f t="shared" si="10"/>
        <v>1600</v>
      </c>
      <c r="C48" s="33">
        <f t="shared" si="11"/>
        <v>1556.2560153313814</v>
      </c>
      <c r="K48" s="31"/>
      <c r="L48" s="31"/>
    </row>
    <row r="49" spans="1:12" ht="13.5">
      <c r="A49" s="32">
        <f ca="1" t="shared" si="9"/>
        <v>0.25</v>
      </c>
      <c r="B49" s="33">
        <f t="shared" si="10"/>
        <v>1525</v>
      </c>
      <c r="C49" s="33">
        <f t="shared" si="11"/>
        <v>1439.536814181528</v>
      </c>
      <c r="K49" s="31"/>
      <c r="L49" s="31"/>
    </row>
    <row r="50" spans="1:12" ht="13.5">
      <c r="A50" s="32">
        <f ca="1" t="shared" si="9"/>
        <v>2</v>
      </c>
      <c r="B50" s="33">
        <f t="shared" si="10"/>
        <v>1625</v>
      </c>
      <c r="C50" s="33">
        <f t="shared" si="11"/>
        <v>1583.4904955996808</v>
      </c>
      <c r="K50" s="31"/>
      <c r="L50" s="31"/>
    </row>
    <row r="51" spans="1:12" ht="13.5">
      <c r="A51" s="32">
        <f ca="1" t="shared" si="9"/>
        <v>2</v>
      </c>
      <c r="B51" s="33">
        <f t="shared" si="10"/>
        <v>1725</v>
      </c>
      <c r="C51" s="33">
        <f t="shared" si="11"/>
        <v>1741.839545159649</v>
      </c>
      <c r="K51" s="31"/>
      <c r="L51" s="31"/>
    </row>
    <row r="52" spans="1:12" ht="13.5">
      <c r="A52" s="32">
        <f ca="1" t="shared" si="9"/>
        <v>0.25</v>
      </c>
      <c r="B52" s="33">
        <f t="shared" si="10"/>
        <v>1650</v>
      </c>
      <c r="C52" s="33">
        <f t="shared" si="11"/>
        <v>1611.2015792726754</v>
      </c>
      <c r="K52" s="31"/>
      <c r="L52" s="31"/>
    </row>
    <row r="53" spans="1:12" ht="13.5">
      <c r="A53" s="32">
        <f ca="1" t="shared" si="9"/>
        <v>0.25</v>
      </c>
      <c r="B53" s="33">
        <f t="shared" si="10"/>
        <v>1575</v>
      </c>
      <c r="C53" s="33">
        <f t="shared" si="11"/>
        <v>1490.3614608272248</v>
      </c>
      <c r="K53" s="31"/>
      <c r="L53" s="31"/>
    </row>
    <row r="54" spans="1:12" ht="13.5">
      <c r="A54" s="32">
        <f ca="1" t="shared" si="9"/>
        <v>0.25</v>
      </c>
      <c r="B54" s="33">
        <f t="shared" si="10"/>
        <v>1500</v>
      </c>
      <c r="C54" s="33">
        <f t="shared" si="11"/>
        <v>1378.5843512651832</v>
      </c>
      <c r="K54" s="31"/>
      <c r="L54" s="31"/>
    </row>
    <row r="55" spans="1:12" ht="13.5">
      <c r="A55" s="32">
        <f ca="1" t="shared" si="9"/>
        <v>2</v>
      </c>
      <c r="B55" s="33">
        <f t="shared" si="10"/>
        <v>1600</v>
      </c>
      <c r="C55" s="33">
        <f t="shared" si="11"/>
        <v>1516.4427863917017</v>
      </c>
      <c r="K55" s="31"/>
      <c r="L55" s="31"/>
    </row>
    <row r="56" spans="1:12" ht="13.5">
      <c r="A56" s="32">
        <f ca="1" t="shared" si="9"/>
        <v>0.25</v>
      </c>
      <c r="B56" s="33">
        <f t="shared" si="10"/>
        <v>1525</v>
      </c>
      <c r="C56" s="33">
        <f t="shared" si="11"/>
        <v>1402.709577412324</v>
      </c>
      <c r="K56" s="31"/>
      <c r="L56" s="31"/>
    </row>
    <row r="57" spans="1:12" ht="13.5">
      <c r="A57" s="32">
        <f ca="1" t="shared" si="9"/>
        <v>0.25</v>
      </c>
      <c r="B57" s="33">
        <f aca="true" t="shared" si="12" ref="B57:B72">B56+$B$5*(A57-1)</f>
        <v>1450</v>
      </c>
      <c r="C57" s="33">
        <f aca="true" t="shared" si="13" ref="C57:C72">C56*(1+$C$5*(A57-1))</f>
        <v>1297.5063591063997</v>
      </c>
      <c r="K57" s="31"/>
      <c r="L57" s="31"/>
    </row>
    <row r="58" spans="1:12" ht="13.5">
      <c r="A58" s="32">
        <f ca="1" t="shared" si="9"/>
        <v>2</v>
      </c>
      <c r="B58" s="33">
        <f t="shared" si="12"/>
        <v>1550</v>
      </c>
      <c r="C58" s="33">
        <f t="shared" si="13"/>
        <v>1427.2569950170398</v>
      </c>
      <c r="K58" s="31"/>
      <c r="L58" s="31"/>
    </row>
    <row r="59" spans="1:12" ht="13.5">
      <c r="A59" s="32">
        <f ca="1" t="shared" si="9"/>
        <v>2</v>
      </c>
      <c r="B59" s="33">
        <f t="shared" si="12"/>
        <v>1650</v>
      </c>
      <c r="C59" s="33">
        <f t="shared" si="13"/>
        <v>1569.982694518744</v>
      </c>
      <c r="K59" s="31"/>
      <c r="L59" s="31"/>
    </row>
    <row r="60" spans="1:12" ht="13.5">
      <c r="A60" s="32">
        <f ca="1" t="shared" si="9"/>
        <v>0.25</v>
      </c>
      <c r="B60" s="33">
        <f t="shared" si="12"/>
        <v>1575</v>
      </c>
      <c r="C60" s="33">
        <f t="shared" si="13"/>
        <v>1452.2339924298383</v>
      </c>
      <c r="K60" s="31"/>
      <c r="L60" s="31"/>
    </row>
    <row r="61" spans="1:12" ht="13.5">
      <c r="A61" s="32">
        <f ca="1" t="shared" si="9"/>
        <v>0.25</v>
      </c>
      <c r="B61" s="33">
        <f t="shared" si="12"/>
        <v>1500</v>
      </c>
      <c r="C61" s="33">
        <f t="shared" si="13"/>
        <v>1343.3164429976005</v>
      </c>
      <c r="K61" s="31"/>
      <c r="L61" s="31"/>
    </row>
    <row r="62" spans="1:12" ht="13.5">
      <c r="A62" s="32">
        <f ca="1" t="shared" si="9"/>
        <v>0.25</v>
      </c>
      <c r="B62" s="33">
        <f t="shared" si="12"/>
        <v>1425</v>
      </c>
      <c r="C62" s="33">
        <f t="shared" si="13"/>
        <v>1242.5677097727805</v>
      </c>
      <c r="K62" s="31"/>
      <c r="L62" s="31"/>
    </row>
    <row r="63" spans="1:12" ht="13.5">
      <c r="A63" s="32">
        <f ca="1" t="shared" si="9"/>
        <v>0.25</v>
      </c>
      <c r="B63" s="33">
        <f t="shared" si="12"/>
        <v>1350</v>
      </c>
      <c r="C63" s="33">
        <f t="shared" si="13"/>
        <v>1149.375131539822</v>
      </c>
      <c r="K63" s="31"/>
      <c r="L63" s="31"/>
    </row>
    <row r="64" spans="1:12" ht="13.5">
      <c r="A64" s="32">
        <f ca="1" t="shared" si="9"/>
        <v>0.25</v>
      </c>
      <c r="B64" s="33">
        <f t="shared" si="12"/>
        <v>1275</v>
      </c>
      <c r="C64" s="33">
        <f t="shared" si="13"/>
        <v>1063.1719966743353</v>
      </c>
      <c r="K64" s="31"/>
      <c r="L64" s="31"/>
    </row>
    <row r="65" spans="1:12" ht="13.5">
      <c r="A65" s="32">
        <f ca="1" t="shared" si="9"/>
        <v>0.25</v>
      </c>
      <c r="B65" s="33">
        <f t="shared" si="12"/>
        <v>1200</v>
      </c>
      <c r="C65" s="33">
        <f t="shared" si="13"/>
        <v>983.4340969237602</v>
      </c>
      <c r="K65" s="31"/>
      <c r="L65" s="31"/>
    </row>
    <row r="66" spans="1:12" ht="13.5">
      <c r="A66" s="32">
        <f ca="1" t="shared" si="9"/>
        <v>2</v>
      </c>
      <c r="B66" s="33">
        <f t="shared" si="12"/>
        <v>1300</v>
      </c>
      <c r="C66" s="33">
        <f t="shared" si="13"/>
        <v>1081.7775066161364</v>
      </c>
      <c r="K66" s="31"/>
      <c r="L66" s="31"/>
    </row>
    <row r="67" spans="1:12" ht="13.5">
      <c r="A67" s="32">
        <f ca="1" t="shared" si="9"/>
        <v>0.25</v>
      </c>
      <c r="B67" s="33">
        <f t="shared" si="12"/>
        <v>1225</v>
      </c>
      <c r="C67" s="33">
        <f t="shared" si="13"/>
        <v>1000.6441936199262</v>
      </c>
      <c r="K67" s="31"/>
      <c r="L67" s="31"/>
    </row>
    <row r="68" spans="1:12" ht="13.5">
      <c r="A68" s="32">
        <f ca="1" t="shared" si="9"/>
        <v>0.25</v>
      </c>
      <c r="B68" s="33">
        <f t="shared" si="12"/>
        <v>1150</v>
      </c>
      <c r="C68" s="33">
        <f t="shared" si="13"/>
        <v>925.5958790984319</v>
      </c>
      <c r="K68" s="31"/>
      <c r="L68" s="31"/>
    </row>
    <row r="69" spans="1:12" ht="13.5">
      <c r="A69" s="32">
        <f ca="1" t="shared" si="9"/>
        <v>0.25</v>
      </c>
      <c r="B69" s="33">
        <f t="shared" si="12"/>
        <v>1075</v>
      </c>
      <c r="C69" s="33">
        <f t="shared" si="13"/>
        <v>856.1761881660495</v>
      </c>
      <c r="K69" s="31"/>
      <c r="L69" s="31"/>
    </row>
    <row r="70" spans="1:12" ht="13.5">
      <c r="A70" s="32">
        <f ca="1" t="shared" si="9"/>
        <v>2</v>
      </c>
      <c r="B70" s="33">
        <f t="shared" si="12"/>
        <v>1175</v>
      </c>
      <c r="C70" s="33">
        <f t="shared" si="13"/>
        <v>941.7938069826546</v>
      </c>
      <c r="K70" s="31"/>
      <c r="L70" s="31"/>
    </row>
    <row r="71" spans="1:12" ht="13.5">
      <c r="A71" s="32">
        <f ca="1" t="shared" si="9"/>
        <v>0.25</v>
      </c>
      <c r="B71" s="33">
        <f t="shared" si="12"/>
        <v>1100</v>
      </c>
      <c r="C71" s="33">
        <f t="shared" si="13"/>
        <v>871.1592714589556</v>
      </c>
      <c r="K71" s="31"/>
      <c r="L71" s="31"/>
    </row>
    <row r="72" spans="1:12" ht="13.5">
      <c r="A72" s="32">
        <f aca="true" ca="1" t="shared" si="14" ref="A72:A107">IF(RAND()&lt;0.5,2,0.25)</f>
        <v>2</v>
      </c>
      <c r="B72" s="33">
        <f t="shared" si="12"/>
        <v>1200</v>
      </c>
      <c r="C72" s="33">
        <f t="shared" si="13"/>
        <v>958.2751986048512</v>
      </c>
      <c r="K72" s="31"/>
      <c r="L72" s="31"/>
    </row>
    <row r="73" spans="1:12" ht="13.5">
      <c r="A73" s="32">
        <f ca="1" t="shared" si="14"/>
        <v>2</v>
      </c>
      <c r="B73" s="33">
        <f aca="true" t="shared" si="15" ref="B73:B88">B72+$B$5*(A73-1)</f>
        <v>1300</v>
      </c>
      <c r="C73" s="33">
        <f aca="true" t="shared" si="16" ref="C73:C88">C72*(1+$C$5*(A73-1))</f>
        <v>1054.1027184653365</v>
      </c>
      <c r="K73" s="31"/>
      <c r="L73" s="31"/>
    </row>
    <row r="74" spans="1:12" ht="13.5">
      <c r="A74" s="32">
        <f ca="1" t="shared" si="14"/>
        <v>2</v>
      </c>
      <c r="B74" s="33">
        <f t="shared" si="15"/>
        <v>1400</v>
      </c>
      <c r="C74" s="33">
        <f t="shared" si="16"/>
        <v>1159.5129903118702</v>
      </c>
      <c r="K74" s="31"/>
      <c r="L74" s="31"/>
    </row>
    <row r="75" spans="1:12" ht="13.5">
      <c r="A75" s="32">
        <f ca="1" t="shared" si="14"/>
        <v>2</v>
      </c>
      <c r="B75" s="33">
        <f t="shared" si="15"/>
        <v>1500</v>
      </c>
      <c r="C75" s="33">
        <f t="shared" si="16"/>
        <v>1275.4642893430573</v>
      </c>
      <c r="K75" s="31"/>
      <c r="L75" s="31"/>
    </row>
    <row r="76" spans="1:12" ht="13.5">
      <c r="A76" s="32">
        <f ca="1" t="shared" si="14"/>
        <v>2</v>
      </c>
      <c r="B76" s="33">
        <f t="shared" si="15"/>
        <v>1600</v>
      </c>
      <c r="C76" s="33">
        <f t="shared" si="16"/>
        <v>1403.0107182773631</v>
      </c>
      <c r="K76" s="31"/>
      <c r="L76" s="31"/>
    </row>
    <row r="77" spans="1:12" ht="13.5">
      <c r="A77" s="32">
        <f ca="1" t="shared" si="14"/>
        <v>2</v>
      </c>
      <c r="B77" s="33">
        <f t="shared" si="15"/>
        <v>1700</v>
      </c>
      <c r="C77" s="33">
        <f t="shared" si="16"/>
        <v>1543.3117901050996</v>
      </c>
      <c r="K77" s="31"/>
      <c r="L77" s="31"/>
    </row>
    <row r="78" spans="1:12" ht="13.5">
      <c r="A78" s="32">
        <f ca="1" t="shared" si="14"/>
        <v>2</v>
      </c>
      <c r="B78" s="33">
        <f t="shared" si="15"/>
        <v>1800</v>
      </c>
      <c r="C78" s="33">
        <f t="shared" si="16"/>
        <v>1697.6429691156097</v>
      </c>
      <c r="K78" s="31"/>
      <c r="L78" s="31"/>
    </row>
    <row r="79" spans="1:12" ht="13.5">
      <c r="A79" s="32">
        <f ca="1" t="shared" si="14"/>
        <v>2</v>
      </c>
      <c r="B79" s="33">
        <f t="shared" si="15"/>
        <v>1900</v>
      </c>
      <c r="C79" s="33">
        <f t="shared" si="16"/>
        <v>1867.4072660271709</v>
      </c>
      <c r="K79" s="31"/>
      <c r="L79" s="31"/>
    </row>
    <row r="80" spans="1:12" ht="13.5">
      <c r="A80" s="32">
        <f ca="1" t="shared" si="14"/>
        <v>2</v>
      </c>
      <c r="B80" s="33">
        <f t="shared" si="15"/>
        <v>2000</v>
      </c>
      <c r="C80" s="33">
        <f t="shared" si="16"/>
        <v>2054.147992629888</v>
      </c>
      <c r="K80" s="31"/>
      <c r="L80" s="31"/>
    </row>
    <row r="81" spans="1:12" ht="13.5">
      <c r="A81" s="32">
        <f ca="1" t="shared" si="14"/>
        <v>2</v>
      </c>
      <c r="B81" s="33">
        <f t="shared" si="15"/>
        <v>2100</v>
      </c>
      <c r="C81" s="33">
        <f t="shared" si="16"/>
        <v>2259.562791892877</v>
      </c>
      <c r="K81" s="31"/>
      <c r="L81" s="31"/>
    </row>
    <row r="82" spans="1:12" ht="13.5">
      <c r="A82" s="32">
        <f ca="1" t="shared" si="14"/>
        <v>2</v>
      </c>
      <c r="B82" s="33">
        <f t="shared" si="15"/>
        <v>2200</v>
      </c>
      <c r="C82" s="33">
        <f t="shared" si="16"/>
        <v>2485.5190710821653</v>
      </c>
      <c r="K82" s="31"/>
      <c r="L82" s="31"/>
    </row>
    <row r="83" spans="1:12" ht="13.5">
      <c r="A83" s="32">
        <f ca="1" t="shared" si="14"/>
        <v>0.25</v>
      </c>
      <c r="B83" s="33">
        <f t="shared" si="15"/>
        <v>2125</v>
      </c>
      <c r="C83" s="33">
        <f t="shared" si="16"/>
        <v>2299.105140751003</v>
      </c>
      <c r="K83" s="31"/>
      <c r="L83" s="31"/>
    </row>
    <row r="84" spans="1:12" ht="13.5">
      <c r="A84" s="32">
        <f ca="1" t="shared" si="14"/>
        <v>0.25</v>
      </c>
      <c r="B84" s="33">
        <f t="shared" si="15"/>
        <v>2050</v>
      </c>
      <c r="C84" s="33">
        <f t="shared" si="16"/>
        <v>2126.6722551946777</v>
      </c>
      <c r="K84" s="31"/>
      <c r="L84" s="31"/>
    </row>
    <row r="85" spans="1:12" ht="13.5">
      <c r="A85" s="32">
        <f ca="1" t="shared" si="14"/>
        <v>2</v>
      </c>
      <c r="B85" s="33">
        <f t="shared" si="15"/>
        <v>2150</v>
      </c>
      <c r="C85" s="33">
        <f t="shared" si="16"/>
        <v>2339.339480714146</v>
      </c>
      <c r="K85" s="31"/>
      <c r="L85" s="31"/>
    </row>
    <row r="86" spans="1:12" ht="13.5">
      <c r="A86" s="32">
        <f ca="1" t="shared" si="14"/>
        <v>0.25</v>
      </c>
      <c r="B86" s="33">
        <f t="shared" si="15"/>
        <v>2075</v>
      </c>
      <c r="C86" s="33">
        <f t="shared" si="16"/>
        <v>2163.889019660585</v>
      </c>
      <c r="K86" s="31"/>
      <c r="L86" s="31"/>
    </row>
    <row r="87" spans="1:12" ht="13.5">
      <c r="A87" s="32">
        <f ca="1" t="shared" si="14"/>
        <v>0.25</v>
      </c>
      <c r="B87" s="33">
        <f t="shared" si="15"/>
        <v>2000</v>
      </c>
      <c r="C87" s="33">
        <f t="shared" si="16"/>
        <v>2001.5973431860411</v>
      </c>
      <c r="K87" s="31"/>
      <c r="L87" s="31"/>
    </row>
    <row r="88" spans="1:12" ht="13.5">
      <c r="A88" s="32">
        <f ca="1" t="shared" si="14"/>
        <v>0.25</v>
      </c>
      <c r="B88" s="33">
        <f t="shared" si="15"/>
        <v>1925</v>
      </c>
      <c r="C88" s="33">
        <f t="shared" si="16"/>
        <v>1851.4775424470881</v>
      </c>
      <c r="K88" s="31"/>
      <c r="L88" s="31"/>
    </row>
    <row r="89" spans="1:12" ht="13.5">
      <c r="A89" s="32">
        <f ca="1" t="shared" si="14"/>
        <v>2</v>
      </c>
      <c r="B89" s="33">
        <f aca="true" t="shared" si="17" ref="B89:B104">B88+$B$5*(A89-1)</f>
        <v>2025</v>
      </c>
      <c r="C89" s="33">
        <f aca="true" t="shared" si="18" ref="C89:C104">C88*(1+$C$5*(A89-1))</f>
        <v>2036.625296691797</v>
      </c>
      <c r="K89" s="31"/>
      <c r="L89" s="31"/>
    </row>
    <row r="90" spans="1:12" ht="13.5">
      <c r="A90" s="32">
        <f ca="1" t="shared" si="14"/>
        <v>2</v>
      </c>
      <c r="B90" s="33">
        <f t="shared" si="17"/>
        <v>2125</v>
      </c>
      <c r="C90" s="33">
        <f t="shared" si="18"/>
        <v>2240.287826360977</v>
      </c>
      <c r="K90" s="31"/>
      <c r="L90" s="31"/>
    </row>
    <row r="91" spans="1:12" ht="13.5">
      <c r="A91" s="32">
        <f ca="1" t="shared" si="14"/>
        <v>0.25</v>
      </c>
      <c r="B91" s="33">
        <f t="shared" si="17"/>
        <v>2050</v>
      </c>
      <c r="C91" s="33">
        <f t="shared" si="18"/>
        <v>2072.2662393839037</v>
      </c>
      <c r="K91" s="31"/>
      <c r="L91" s="31"/>
    </row>
    <row r="92" spans="1:12" ht="13.5">
      <c r="A92" s="32">
        <f ca="1" t="shared" si="14"/>
        <v>2</v>
      </c>
      <c r="B92" s="33">
        <f t="shared" si="17"/>
        <v>2150</v>
      </c>
      <c r="C92" s="33">
        <f t="shared" si="18"/>
        <v>2279.4928633222944</v>
      </c>
      <c r="K92" s="31"/>
      <c r="L92" s="31"/>
    </row>
    <row r="93" spans="1:12" ht="13.5">
      <c r="A93" s="32">
        <f ca="1" t="shared" si="14"/>
        <v>2</v>
      </c>
      <c r="B93" s="33">
        <f t="shared" si="17"/>
        <v>2250</v>
      </c>
      <c r="C93" s="33">
        <f t="shared" si="18"/>
        <v>2507.442149654524</v>
      </c>
      <c r="K93" s="31"/>
      <c r="L93" s="31"/>
    </row>
    <row r="94" spans="1:12" ht="13.5">
      <c r="A94" s="32">
        <f ca="1" t="shared" si="14"/>
        <v>2</v>
      </c>
      <c r="B94" s="33">
        <f t="shared" si="17"/>
        <v>2350</v>
      </c>
      <c r="C94" s="33">
        <f t="shared" si="18"/>
        <v>2758.1863646199768</v>
      </c>
      <c r="K94" s="31"/>
      <c r="L94" s="31"/>
    </row>
    <row r="95" spans="1:12" ht="13.5">
      <c r="A95" s="32">
        <f ca="1" t="shared" si="14"/>
        <v>0.25</v>
      </c>
      <c r="B95" s="33">
        <f t="shared" si="17"/>
        <v>2275</v>
      </c>
      <c r="C95" s="33">
        <f t="shared" si="18"/>
        <v>2551.3223872734784</v>
      </c>
      <c r="K95" s="31"/>
      <c r="L95" s="31"/>
    </row>
    <row r="96" spans="1:12" ht="13.5">
      <c r="A96" s="32">
        <f ca="1" t="shared" si="14"/>
        <v>0.25</v>
      </c>
      <c r="B96" s="33">
        <f t="shared" si="17"/>
        <v>2200</v>
      </c>
      <c r="C96" s="33">
        <f t="shared" si="18"/>
        <v>2359.9732082279675</v>
      </c>
      <c r="K96" s="31"/>
      <c r="L96" s="31"/>
    </row>
    <row r="97" spans="1:12" ht="13.5">
      <c r="A97" s="32">
        <f ca="1" t="shared" si="14"/>
        <v>2</v>
      </c>
      <c r="B97" s="33">
        <f t="shared" si="17"/>
        <v>2300</v>
      </c>
      <c r="C97" s="33">
        <f t="shared" si="18"/>
        <v>2595.9705290507645</v>
      </c>
      <c r="K97" s="31"/>
      <c r="L97" s="31"/>
    </row>
    <row r="98" spans="1:12" ht="13.5">
      <c r="A98" s="32">
        <f ca="1" t="shared" si="14"/>
        <v>2</v>
      </c>
      <c r="B98" s="33">
        <f t="shared" si="17"/>
        <v>2400</v>
      </c>
      <c r="C98" s="33">
        <f t="shared" si="18"/>
        <v>2855.5675819558414</v>
      </c>
      <c r="K98" s="31"/>
      <c r="L98" s="31"/>
    </row>
    <row r="99" spans="1:12" ht="13.5">
      <c r="A99" s="32">
        <f ca="1" t="shared" si="14"/>
        <v>0.25</v>
      </c>
      <c r="B99" s="33">
        <f t="shared" si="17"/>
        <v>2325</v>
      </c>
      <c r="C99" s="33">
        <f t="shared" si="18"/>
        <v>2641.4000133091536</v>
      </c>
      <c r="K99" s="31"/>
      <c r="L99" s="31"/>
    </row>
    <row r="100" spans="1:12" ht="13.5">
      <c r="A100" s="32">
        <f ca="1" t="shared" si="14"/>
        <v>0.25</v>
      </c>
      <c r="B100" s="33">
        <f t="shared" si="17"/>
        <v>2250</v>
      </c>
      <c r="C100" s="33">
        <f t="shared" si="18"/>
        <v>2443.295012310967</v>
      </c>
      <c r="K100" s="31"/>
      <c r="L100" s="31"/>
    </row>
    <row r="101" spans="1:12" ht="13.5">
      <c r="A101" s="32">
        <f ca="1" t="shared" si="14"/>
        <v>0.25</v>
      </c>
      <c r="B101" s="33">
        <f t="shared" si="17"/>
        <v>2175</v>
      </c>
      <c r="C101" s="33">
        <f t="shared" si="18"/>
        <v>2260.0478863876447</v>
      </c>
      <c r="K101" s="31"/>
      <c r="L101" s="31"/>
    </row>
    <row r="102" spans="1:12" ht="13.5">
      <c r="A102" s="32">
        <f ca="1" t="shared" si="14"/>
        <v>2</v>
      </c>
      <c r="B102" s="33">
        <f t="shared" si="17"/>
        <v>2275</v>
      </c>
      <c r="C102" s="33">
        <f t="shared" si="18"/>
        <v>2486.0526750264094</v>
      </c>
      <c r="K102" s="31"/>
      <c r="L102" s="31"/>
    </row>
    <row r="103" spans="1:12" ht="13.5">
      <c r="A103" s="32">
        <f ca="1" t="shared" si="14"/>
        <v>2</v>
      </c>
      <c r="B103" s="33">
        <f t="shared" si="17"/>
        <v>2375</v>
      </c>
      <c r="C103" s="33">
        <f t="shared" si="18"/>
        <v>2734.6579425290506</v>
      </c>
      <c r="K103" s="31"/>
      <c r="L103" s="31"/>
    </row>
    <row r="104" spans="1:12" ht="13.5">
      <c r="A104" s="32">
        <f ca="1" t="shared" si="14"/>
        <v>0.25</v>
      </c>
      <c r="B104" s="33">
        <f t="shared" si="17"/>
        <v>2300</v>
      </c>
      <c r="C104" s="33">
        <f t="shared" si="18"/>
        <v>2529.558596839372</v>
      </c>
      <c r="K104" s="31"/>
      <c r="L104" s="31"/>
    </row>
    <row r="105" spans="1:12" ht="13.5">
      <c r="A105" s="32">
        <f ca="1" t="shared" si="14"/>
        <v>0.25</v>
      </c>
      <c r="B105" s="33">
        <f>B104+$B$5*(A105-1)</f>
        <v>2225</v>
      </c>
      <c r="C105" s="33">
        <f>C104*(1+$C$5*(A105-1))</f>
        <v>2339.841702076419</v>
      </c>
      <c r="K105" s="31"/>
      <c r="L105" s="31"/>
    </row>
    <row r="106" spans="1:12" ht="13.5">
      <c r="A106" s="32">
        <f ca="1" t="shared" si="14"/>
        <v>2</v>
      </c>
      <c r="B106" s="33">
        <f>B105+$B$5*(A106-1)</f>
        <v>2325</v>
      </c>
      <c r="C106" s="33">
        <f>C105*(1+$C$5*(A106-1))</f>
        <v>2573.825872284061</v>
      </c>
      <c r="K106" s="31"/>
      <c r="L106" s="31"/>
    </row>
    <row r="107" spans="1:12" ht="13.5">
      <c r="A107" s="32">
        <f ca="1" t="shared" si="14"/>
        <v>2</v>
      </c>
      <c r="B107" s="33">
        <f>B106+$B$5*(A107-1)</f>
        <v>2425</v>
      </c>
      <c r="C107" s="33">
        <f>C106*(1+$C$5*(A107-1))</f>
        <v>2831.2084595124675</v>
      </c>
      <c r="K107" s="31"/>
      <c r="L107" s="31"/>
    </row>
    <row r="108" spans="11:12" ht="13.5">
      <c r="K108" s="31"/>
      <c r="L108" s="31"/>
    </row>
  </sheetData>
  <printOptions gridLines="1" headings="1"/>
  <pageMargins left="1" right="1" top="1" bottom="1" header="0.5" footer="0.5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8"/>
  <sheetViews>
    <sheetView workbookViewId="0" topLeftCell="A1">
      <selection activeCell="A1" sqref="A1"/>
    </sheetView>
  </sheetViews>
  <sheetFormatPr defaultColWidth="9.00390625" defaultRowHeight="13.5"/>
  <cols>
    <col min="1" max="1" width="9.875" style="2" customWidth="1"/>
    <col min="2" max="4" width="8.875" style="2" customWidth="1"/>
    <col min="5" max="5" width="9.875" style="2" customWidth="1"/>
    <col min="6" max="6" width="9.00390625" style="2" customWidth="1"/>
    <col min="7" max="8" width="9.25390625" style="2" customWidth="1"/>
    <col min="9" max="9" width="3.75390625" style="2" customWidth="1"/>
    <col min="10" max="16384" width="9.00390625" style="2" customWidth="1"/>
  </cols>
  <sheetData>
    <row r="1" spans="1:17" ht="13.5">
      <c r="A1"/>
      <c r="B1" s="4" t="s">
        <v>175</v>
      </c>
      <c r="C1" s="3"/>
      <c r="D1" s="3"/>
      <c r="F1" s="3" t="s">
        <v>176</v>
      </c>
      <c r="G1"/>
      <c r="J1"/>
      <c r="K1"/>
      <c r="L1"/>
      <c r="M1"/>
      <c r="N1"/>
      <c r="Q1"/>
    </row>
    <row r="2" spans="1:17" ht="13.5">
      <c r="A2"/>
      <c r="B2" s="6">
        <v>1759</v>
      </c>
      <c r="C2" s="6">
        <v>1764</v>
      </c>
      <c r="D2" s="6">
        <v>1768</v>
      </c>
      <c r="E2"/>
      <c r="F2">
        <f>(D2-C2)/(C2-B2)</f>
        <v>0.8</v>
      </c>
      <c r="J2"/>
      <c r="K2"/>
      <c r="L2"/>
      <c r="M2"/>
      <c r="N2"/>
      <c r="Q2"/>
    </row>
    <row r="3" spans="1:17" ht="13.5">
      <c r="A3" s="3" t="s">
        <v>177</v>
      </c>
      <c r="B3" t="s">
        <v>178</v>
      </c>
      <c r="C3" t="s">
        <v>179</v>
      </c>
      <c r="D3" t="s">
        <v>180</v>
      </c>
      <c r="E3" s="3" t="s">
        <v>181</v>
      </c>
      <c r="F3"/>
      <c r="G3" s="4" t="s">
        <v>182</v>
      </c>
      <c r="J3"/>
      <c r="K3"/>
      <c r="L3"/>
      <c r="M3"/>
      <c r="N3"/>
      <c r="Q3"/>
    </row>
    <row r="4" spans="1:17" ht="13.5">
      <c r="A4">
        <f>[1]!genlinv(0.01,$B$2,$C$2,$D$2)</f>
        <v>1740.82062481793</v>
      </c>
      <c r="B4"/>
      <c r="C4"/>
      <c r="D4"/>
      <c r="E4" s="2">
        <f>[1]!genlinv(0.99,$B$2,$C$2,$D$2)</f>
        <v>1774.7363183584737</v>
      </c>
      <c r="F4"/>
      <c r="G4">
        <f ca="1">[1]!genlinv(RAND(),$B$2,$C$2,$D$2)</f>
        <v>1758.4630902421277</v>
      </c>
      <c r="J4"/>
      <c r="K4"/>
      <c r="L4"/>
      <c r="M4"/>
      <c r="N4"/>
      <c r="Q4"/>
    </row>
    <row r="5" spans="1:14" ht="13.5">
      <c r="A5"/>
      <c r="B5"/>
      <c r="C5"/>
      <c r="D5"/>
      <c r="E5"/>
      <c r="F5"/>
      <c r="J5"/>
      <c r="K5"/>
      <c r="L5"/>
      <c r="M5"/>
      <c r="N5"/>
    </row>
    <row r="6" spans="1:14" ht="13.5">
      <c r="A6" s="3" t="s">
        <v>183</v>
      </c>
      <c r="E6"/>
      <c r="G6"/>
      <c r="J6"/>
      <c r="K6"/>
      <c r="L6"/>
      <c r="M6"/>
      <c r="N6"/>
    </row>
    <row r="7" spans="1:14" ht="13.5">
      <c r="A7" s="2" t="s">
        <v>6</v>
      </c>
      <c r="B7" s="1" t="s">
        <v>184</v>
      </c>
      <c r="C7" s="2" t="s">
        <v>8</v>
      </c>
      <c r="E7" s="15" t="s">
        <v>5</v>
      </c>
      <c r="F7" s="1"/>
      <c r="G7"/>
      <c r="J7"/>
      <c r="K7"/>
      <c r="L7"/>
      <c r="M7"/>
      <c r="N7"/>
    </row>
    <row r="8" spans="1:14" ht="13.5">
      <c r="A8" s="2">
        <v>0.001</v>
      </c>
      <c r="B8" s="2">
        <f>[1]!genlinv(A8,$B$2,$C$2,$D$2)</f>
        <v>1728.4053370812394</v>
      </c>
      <c r="E8" s="16" t="s">
        <v>185</v>
      </c>
      <c r="J8"/>
      <c r="K8"/>
      <c r="L8"/>
      <c r="M8"/>
      <c r="N8"/>
    </row>
    <row r="9" spans="1:14" ht="13.5">
      <c r="A9" s="2">
        <v>0.01</v>
      </c>
      <c r="B9" s="2">
        <f>[1]!genlinv(A9,$B$2,$C$2,$D$2)</f>
        <v>1740.82062481793</v>
      </c>
      <c r="C9" s="2">
        <f aca="true" t="shared" si="0" ref="C9:C40">(A10-A8)/(B10-B8)</f>
        <v>0.0011772791571778448</v>
      </c>
      <c r="E9" s="16" t="s">
        <v>186</v>
      </c>
      <c r="F9" s="1"/>
      <c r="J9"/>
      <c r="K9"/>
      <c r="L9"/>
      <c r="M9"/>
      <c r="N9"/>
    </row>
    <row r="10" spans="1:14" ht="13.5">
      <c r="A10" s="2">
        <v>0.02</v>
      </c>
      <c r="B10" s="2">
        <f>[1]!genlinv(A10,$B$2,$C$2,$D$2)</f>
        <v>1744.544245074435</v>
      </c>
      <c r="C10" s="2">
        <f t="shared" si="0"/>
        <v>0.003379567570881956</v>
      </c>
      <c r="E10" s="15" t="s">
        <v>187</v>
      </c>
      <c r="F10" s="1"/>
      <c r="J10"/>
      <c r="K10"/>
      <c r="L10"/>
      <c r="M10"/>
      <c r="N10"/>
    </row>
    <row r="11" spans="1:14" ht="13.5">
      <c r="A11" s="2">
        <v>0.03</v>
      </c>
      <c r="B11" s="2">
        <f>[1]!genlinv(A11,$B$2,$C$2,$D$2)</f>
        <v>1746.7385417053797</v>
      </c>
      <c r="C11" s="2">
        <f t="shared" si="0"/>
        <v>0.005313364620412893</v>
      </c>
      <c r="E11" s="15" t="s">
        <v>188</v>
      </c>
      <c r="F11" s="1"/>
      <c r="J11"/>
      <c r="K11"/>
      <c r="L11"/>
      <c r="M11"/>
      <c r="N11"/>
    </row>
    <row r="12" spans="1:14" ht="13.5">
      <c r="A12" s="2">
        <v>0.04</v>
      </c>
      <c r="B12" s="2">
        <f>[1]!genlinv(A12,$B$2,$C$2,$D$2)</f>
        <v>1748.3083383427877</v>
      </c>
      <c r="C12" s="2">
        <f t="shared" si="0"/>
        <v>0.00714834468932704</v>
      </c>
      <c r="E12" s="16" t="s">
        <v>189</v>
      </c>
      <c r="F12" s="1"/>
      <c r="J12"/>
      <c r="K12"/>
      <c r="L12"/>
      <c r="M12"/>
      <c r="N12"/>
    </row>
    <row r="13" spans="1:14" ht="13.5">
      <c r="A13" s="2">
        <v>0.05</v>
      </c>
      <c r="B13" s="2">
        <f>[1]!genlinv(A13,$B$2,$C$2,$D$2)</f>
        <v>1749.5363922385054</v>
      </c>
      <c r="C13" s="2">
        <f t="shared" si="0"/>
        <v>0.008928664307709826</v>
      </c>
      <c r="D13" s="1"/>
      <c r="E13" s="16" t="s">
        <v>190</v>
      </c>
      <c r="J13"/>
      <c r="K13"/>
      <c r="L13"/>
      <c r="M13"/>
      <c r="N13"/>
    </row>
    <row r="14" spans="1:14" ht="13.5">
      <c r="A14" s="2">
        <v>0.06</v>
      </c>
      <c r="B14" s="2">
        <f>[1]!genlinv(A14,$B$2,$C$2,$D$2)</f>
        <v>1750.5483150415118</v>
      </c>
      <c r="C14" s="2">
        <f t="shared" si="0"/>
        <v>0.010668534746035505</v>
      </c>
      <c r="D14"/>
      <c r="E14" s="16" t="s">
        <v>191</v>
      </c>
      <c r="J14"/>
      <c r="K14"/>
      <c r="L14"/>
      <c r="M14"/>
      <c r="N14"/>
    </row>
    <row r="15" spans="1:14" ht="13.5">
      <c r="A15" s="2">
        <v>0.07</v>
      </c>
      <c r="B15" s="2">
        <f>[1]!genlinv(A15,$B$2,$C$2,$D$2)</f>
        <v>1751.4110639226776</v>
      </c>
      <c r="C15" s="2">
        <f t="shared" si="0"/>
        <v>0.012373605688732</v>
      </c>
      <c r="D15"/>
      <c r="E15" s="16" t="s">
        <v>192</v>
      </c>
      <c r="J15"/>
      <c r="K15"/>
      <c r="L15"/>
      <c r="M15"/>
      <c r="N15"/>
    </row>
    <row r="16" spans="1:14" ht="13.5">
      <c r="A16" s="2">
        <v>0.08</v>
      </c>
      <c r="B16" s="2">
        <f>[1]!genlinv(A16,$B$2,$C$2,$D$2)</f>
        <v>1752.1646587737364</v>
      </c>
      <c r="C16" s="2">
        <f t="shared" si="0"/>
        <v>0.014046307290680893</v>
      </c>
      <c r="D16"/>
      <c r="J16"/>
      <c r="K16"/>
      <c r="L16"/>
      <c r="M16"/>
      <c r="N16"/>
    </row>
    <row r="17" spans="1:14" ht="13.5">
      <c r="A17" s="2">
        <v>0.09</v>
      </c>
      <c r="B17" s="2">
        <f>[1]!genlinv(A17,$B$2,$C$2,$D$2)</f>
        <v>1752.8349256954632</v>
      </c>
      <c r="C17" s="2">
        <f t="shared" si="0"/>
        <v>0.01568944161004741</v>
      </c>
      <c r="D17" s="18" t="s">
        <v>193</v>
      </c>
      <c r="J17"/>
      <c r="K17"/>
      <c r="L17"/>
      <c r="M17"/>
      <c r="N17"/>
    </row>
    <row r="18" spans="1:14" ht="13.5">
      <c r="A18" s="2">
        <v>0.1</v>
      </c>
      <c r="B18" s="2">
        <f>[1]!genlinv(A18,$B$2,$C$2,$D$2)</f>
        <v>1753.4394013998342</v>
      </c>
      <c r="C18" s="2">
        <f t="shared" si="0"/>
        <v>0.017304905959139704</v>
      </c>
      <c r="J18"/>
      <c r="K18"/>
      <c r="L18"/>
      <c r="M18"/>
      <c r="N18"/>
    </row>
    <row r="19" spans="1:14" ht="13.5">
      <c r="A19" s="2">
        <v>0.11</v>
      </c>
      <c r="B19" s="2">
        <f>[1]!genlinv(A19,$B$2,$C$2,$D$2)</f>
        <v>1753.9906673127377</v>
      </c>
      <c r="C19" s="2">
        <f t="shared" si="0"/>
        <v>0.01889230423426046</v>
      </c>
      <c r="J19"/>
      <c r="K19"/>
      <c r="L19"/>
      <c r="M19"/>
      <c r="N19"/>
    </row>
    <row r="20" spans="1:14" ht="13.5">
      <c r="A20" s="2">
        <v>0.12</v>
      </c>
      <c r="B20" s="2">
        <f>[1]!genlinv(A20,$B$2,$C$2,$D$2)</f>
        <v>1754.4980335154303</v>
      </c>
      <c r="C20" s="2">
        <f t="shared" si="0"/>
        <v>0.02045227158827247</v>
      </c>
      <c r="J20"/>
      <c r="K20"/>
      <c r="L20"/>
      <c r="M20"/>
      <c r="N20"/>
    </row>
    <row r="21" spans="1:14" ht="13.5">
      <c r="A21" s="2">
        <v>0.13</v>
      </c>
      <c r="B21" s="2">
        <f>[1]!genlinv(A21,$B$2,$C$2,$D$2)</f>
        <v>1754.9685537990226</v>
      </c>
      <c r="C21" s="2">
        <f t="shared" si="0"/>
        <v>0.021986429774678098</v>
      </c>
      <c r="J21"/>
      <c r="K21"/>
      <c r="L21"/>
      <c r="M21"/>
      <c r="N21"/>
    </row>
    <row r="22" spans="1:14" ht="13.5">
      <c r="A22" s="2">
        <v>0.14</v>
      </c>
      <c r="B22" s="2">
        <f>[1]!genlinv(A22,$B$2,$C$2,$D$2)</f>
        <v>1755.4076855237356</v>
      </c>
      <c r="C22" s="2">
        <f t="shared" si="0"/>
        <v>0.023494089856996716</v>
      </c>
      <c r="J22"/>
      <c r="K22"/>
      <c r="L22"/>
      <c r="M22"/>
      <c r="N22"/>
    </row>
    <row r="23" spans="1:14" ht="13.5">
      <c r="A23" s="2">
        <v>0.15</v>
      </c>
      <c r="B23" s="2">
        <f>[1]!genlinv(A23,$B$2,$C$2,$D$2)</f>
        <v>1755.8198317213314</v>
      </c>
      <c r="C23" s="2">
        <f t="shared" si="0"/>
        <v>0.02497576408882979</v>
      </c>
      <c r="J23"/>
      <c r="K23"/>
      <c r="L23"/>
      <c r="M23"/>
      <c r="N23"/>
    </row>
    <row r="24" spans="1:14" ht="13.5">
      <c r="A24" s="2">
        <v>0.16</v>
      </c>
      <c r="B24" s="2">
        <f>[1]!genlinv(A24,$B$2,$C$2,$D$2)</f>
        <v>1756.2084618254682</v>
      </c>
      <c r="C24" s="2">
        <f t="shared" si="0"/>
        <v>0.026432687594581283</v>
      </c>
      <c r="J24"/>
      <c r="K24"/>
      <c r="L24"/>
      <c r="M24"/>
      <c r="N24"/>
    </row>
    <row r="25" spans="1:14" ht="13.5">
      <c r="A25" s="2">
        <v>0.17</v>
      </c>
      <c r="B25" s="2">
        <f>[1]!genlinv(A25,$B$2,$C$2,$D$2)</f>
        <v>1756.5764706339821</v>
      </c>
      <c r="C25" s="2">
        <f t="shared" si="0"/>
        <v>0.027864174126158776</v>
      </c>
      <c r="J25"/>
      <c r="K25"/>
      <c r="L25"/>
      <c r="M25"/>
      <c r="N25"/>
    </row>
    <row r="26" spans="1:14" ht="13.5">
      <c r="A26" s="2">
        <v>0.18</v>
      </c>
      <c r="B26" s="2">
        <f>[1]!genlinv(A26,$B$2,$C$2,$D$2)</f>
        <v>1756.9262293756367</v>
      </c>
      <c r="C26" s="2">
        <f t="shared" si="0"/>
        <v>0.02927003101960086</v>
      </c>
      <c r="J26"/>
      <c r="K26"/>
      <c r="L26"/>
      <c r="M26"/>
      <c r="N26"/>
    </row>
    <row r="27" spans="1:14" ht="13.5">
      <c r="A27" s="2">
        <v>0.19</v>
      </c>
      <c r="B27" s="2">
        <f>[1]!genlinv(A27,$B$2,$C$2,$D$2)</f>
        <v>1757.2597633843932</v>
      </c>
      <c r="C27" s="2">
        <f t="shared" si="0"/>
        <v>0.03065010713896176</v>
      </c>
      <c r="J27"/>
      <c r="K27"/>
      <c r="L27"/>
      <c r="M27"/>
      <c r="N27"/>
    </row>
    <row r="28" spans="1:14" ht="13.5">
      <c r="A28" s="2">
        <v>0.2</v>
      </c>
      <c r="B28" s="2">
        <f>[1]!genlinv(A28,$B$2,$C$2,$D$2)</f>
        <v>1757.578755642815</v>
      </c>
      <c r="C28" s="2">
        <f t="shared" si="0"/>
        <v>0.03200566605237152</v>
      </c>
      <c r="J28"/>
      <c r="K28"/>
      <c r="L28"/>
      <c r="M28"/>
      <c r="N28"/>
    </row>
    <row r="29" spans="1:14" ht="13.5">
      <c r="A29" s="2">
        <v>0.21</v>
      </c>
      <c r="B29" s="2">
        <f>[1]!genlinv(A29,$B$2,$C$2,$D$2)</f>
        <v>1757.8846527388991</v>
      </c>
      <c r="C29" s="2">
        <f t="shared" si="0"/>
        <v>0.033335592239527465</v>
      </c>
      <c r="J29"/>
      <c r="K29"/>
      <c r="L29"/>
      <c r="M29"/>
      <c r="N29"/>
    </row>
    <row r="30" spans="1:14" ht="13.5">
      <c r="A30" s="2">
        <v>0.22</v>
      </c>
      <c r="B30" s="2">
        <f>[1]!genlinv(A30,$B$2,$C$2,$D$2)</f>
        <v>1758.1787149852587</v>
      </c>
      <c r="C30" s="2">
        <f t="shared" si="0"/>
        <v>0.034640344326510655</v>
      </c>
      <c r="J30"/>
      <c r="K30"/>
      <c r="L30"/>
      <c r="M30"/>
      <c r="N30"/>
    </row>
    <row r="31" spans="1:14" ht="13.5">
      <c r="A31" s="2">
        <v>0.23</v>
      </c>
      <c r="B31" s="2">
        <f>[1]!genlinv(A31,$B$2,$C$2,$D$2)</f>
        <v>1758.462014205387</v>
      </c>
      <c r="C31" s="2">
        <f t="shared" si="0"/>
        <v>0.035920659907716826</v>
      </c>
      <c r="J31"/>
      <c r="K31"/>
      <c r="L31"/>
      <c r="M31"/>
      <c r="N31"/>
    </row>
    <row r="32" spans="1:14" ht="13.5">
      <c r="A32" s="2">
        <v>0.24</v>
      </c>
      <c r="B32" s="2">
        <f>[1]!genlinv(A32,$B$2,$C$2,$D$2)</f>
        <v>1758.7354976293243</v>
      </c>
      <c r="C32" s="2">
        <f t="shared" si="0"/>
        <v>0.037175927401895854</v>
      </c>
      <c r="J32"/>
      <c r="K32"/>
      <c r="L32"/>
      <c r="M32"/>
      <c r="N32"/>
    </row>
    <row r="33" spans="1:4" ht="13.5">
      <c r="A33" s="2">
        <v>0.25</v>
      </c>
      <c r="B33" s="2">
        <f>[1]!genlinv(A33,$B$2,$C$2,$D$2)</f>
        <v>1758.9999967494077</v>
      </c>
      <c r="C33" s="2">
        <f t="shared" si="0"/>
        <v>0.03840416349404524</v>
      </c>
      <c r="D33"/>
    </row>
    <row r="34" spans="1:4" ht="13.5">
      <c r="A34" s="2">
        <v>0.26</v>
      </c>
      <c r="B34" s="2">
        <f>[1]!genlinv(A34,$B$2,$C$2,$D$2)</f>
        <v>1759.2562744977777</v>
      </c>
      <c r="C34" s="2">
        <f t="shared" si="0"/>
        <v>0.03960756818517096</v>
      </c>
      <c r="D34" s="18" t="s">
        <v>194</v>
      </c>
    </row>
    <row r="35" spans="1:3" ht="13.5">
      <c r="A35" s="2">
        <v>0.27</v>
      </c>
      <c r="B35" s="2">
        <f>[1]!genlinv(A35,$B$2,$C$2,$D$2)</f>
        <v>1759.504950749777</v>
      </c>
      <c r="C35" s="2">
        <f t="shared" si="0"/>
        <v>0.0407859170533471</v>
      </c>
    </row>
    <row r="36" spans="1:3" ht="13.5">
      <c r="A36" s="2">
        <v>0.28</v>
      </c>
      <c r="B36" s="2">
        <f>[1]!genlinv(A36,$B$2,$C$2,$D$2)</f>
        <v>1759.7466398357408</v>
      </c>
      <c r="C36" s="2">
        <f t="shared" si="0"/>
        <v>0.04193815501348667</v>
      </c>
    </row>
    <row r="37" spans="1:3" ht="13.5">
      <c r="A37" s="2">
        <v>0.29</v>
      </c>
      <c r="B37" s="2">
        <f>[1]!genlinv(A37,$B$2,$C$2,$D$2)</f>
        <v>1759.9818434503159</v>
      </c>
      <c r="C37" s="2">
        <f t="shared" si="0"/>
        <v>0.04306591311914341</v>
      </c>
    </row>
    <row r="38" spans="1:3" ht="13.5">
      <c r="A38" s="2">
        <v>0.3</v>
      </c>
      <c r="B38" s="2">
        <f>[1]!genlinv(A38,$B$2,$C$2,$D$2)</f>
        <v>1760.211044246363</v>
      </c>
      <c r="C38" s="2">
        <f t="shared" si="0"/>
        <v>0.0441650741853431</v>
      </c>
    </row>
    <row r="39" spans="1:3" ht="13.5">
      <c r="A39" s="2">
        <v>0.31</v>
      </c>
      <c r="B39" s="2">
        <f>[1]!genlinv(A39,$B$2,$C$2,$D$2)</f>
        <v>1760.434689966911</v>
      </c>
      <c r="C39" s="2">
        <f t="shared" si="0"/>
        <v>0.04523879042098282</v>
      </c>
    </row>
    <row r="40" spans="1:3" ht="13.5">
      <c r="A40" s="2">
        <v>0.32</v>
      </c>
      <c r="B40" s="2">
        <f>[1]!genlinv(A40,$B$2,$C$2,$D$2)</f>
        <v>1760.653142715705</v>
      </c>
      <c r="C40" s="2">
        <f t="shared" si="0"/>
        <v>0.046287881162073725</v>
      </c>
    </row>
    <row r="41" spans="1:3" ht="13.5">
      <c r="A41" s="2">
        <v>0.33</v>
      </c>
      <c r="B41" s="2">
        <f>[1]!genlinv(A41,$B$2,$C$2,$D$2)</f>
        <v>1760.866768504487</v>
      </c>
      <c r="C41" s="2">
        <f aca="true" t="shared" si="1" ref="C41:C72">(A42-A40)/(B42-B40)</f>
        <v>0.04730789749388172</v>
      </c>
    </row>
    <row r="42" spans="1:3" ht="13.5">
      <c r="A42" s="2">
        <v>0.34</v>
      </c>
      <c r="B42" s="2">
        <f>[1]!genlinv(A42,$B$2,$C$2,$D$2)</f>
        <v>1761.075905109713</v>
      </c>
      <c r="C42" s="2">
        <f t="shared" si="1"/>
        <v>0.048302376438486144</v>
      </c>
    </row>
    <row r="43" spans="1:3" ht="13.5">
      <c r="A43" s="2">
        <v>0.35</v>
      </c>
      <c r="B43" s="2">
        <f>[1]!genlinv(A43,$B$2,$C$2,$D$2)</f>
        <v>1761.280826807094</v>
      </c>
      <c r="C43" s="2">
        <f t="shared" si="1"/>
        <v>0.04926977969173281</v>
      </c>
    </row>
    <row r="44" spans="1:3" ht="13.5">
      <c r="A44" s="2">
        <v>0.36</v>
      </c>
      <c r="B44" s="2">
        <f>[1]!genlinv(A44,$B$2,$C$2,$D$2)</f>
        <v>1761.4818334520992</v>
      </c>
      <c r="C44" s="2">
        <f t="shared" si="1"/>
        <v>0.0502086806634093</v>
      </c>
    </row>
    <row r="45" spans="1:3" ht="13.5">
      <c r="A45" s="2">
        <v>0.37</v>
      </c>
      <c r="B45" s="2">
        <f>[1]!genlinv(A45,$B$2,$C$2,$D$2)</f>
        <v>1761.6791643004465</v>
      </c>
      <c r="C45" s="2">
        <f t="shared" si="1"/>
        <v>0.051120188535673405</v>
      </c>
    </row>
    <row r="46" spans="1:3" ht="13.5">
      <c r="A46" s="2">
        <v>0.38</v>
      </c>
      <c r="B46" s="2">
        <f>[1]!genlinv(A46,$B$2,$C$2,$D$2)</f>
        <v>1761.8730683159151</v>
      </c>
      <c r="C46" s="2">
        <f t="shared" si="1"/>
        <v>0.05200357366173207</v>
      </c>
    </row>
    <row r="47" spans="1:3" ht="13.5">
      <c r="A47" s="2">
        <v>0.39</v>
      </c>
      <c r="B47" s="2">
        <f>[1]!genlinv(A47,$B$2,$C$2,$D$2)</f>
        <v>1762.063753254469</v>
      </c>
      <c r="C47" s="2">
        <f t="shared" si="1"/>
        <v>0.052858476409501746</v>
      </c>
    </row>
    <row r="48" spans="1:3" ht="13.5">
      <c r="A48" s="2">
        <v>0.4</v>
      </c>
      <c r="B48" s="2">
        <f>[1]!genlinv(A48,$B$2,$C$2,$D$2)</f>
        <v>1762.2514371482866</v>
      </c>
      <c r="C48" s="2">
        <f t="shared" si="1"/>
        <v>0.05368589059219095</v>
      </c>
    </row>
    <row r="49" spans="1:3" ht="13.5">
      <c r="A49" s="2">
        <v>0.41</v>
      </c>
      <c r="B49" s="2">
        <f>[1]!genlinv(A49,$B$2,$C$2,$D$2)</f>
        <v>1762.4362906153917</v>
      </c>
      <c r="C49" s="2">
        <f t="shared" si="1"/>
        <v>0.054484899034035576</v>
      </c>
    </row>
    <row r="50" spans="1:3" ht="13.5">
      <c r="A50" s="2">
        <v>0.42</v>
      </c>
      <c r="B50" s="2">
        <f>[1]!genlinv(A50,$B$2,$C$2,$D$2)</f>
        <v>1762.6185113349802</v>
      </c>
      <c r="C50" s="2">
        <f t="shared" si="1"/>
        <v>0.055250969828630925</v>
      </c>
    </row>
    <row r="51" spans="1:4" ht="13.5">
      <c r="A51" s="2">
        <v>0.43</v>
      </c>
      <c r="B51" s="2">
        <f>[1]!genlinv(A51,$B$2,$C$2,$D$2)</f>
        <v>1762.798275211536</v>
      </c>
      <c r="C51" s="2">
        <f t="shared" si="1"/>
        <v>0.055989480881964857</v>
      </c>
      <c r="D51" s="18" t="s">
        <v>195</v>
      </c>
    </row>
    <row r="52" spans="1:4" ht="13.5">
      <c r="A52" s="2">
        <v>0.44</v>
      </c>
      <c r="B52" s="2">
        <f>[1]!genlinv(A52,$B$2,$C$2,$D$2)</f>
        <v>1762.975721290939</v>
      </c>
      <c r="C52" s="2">
        <f t="shared" si="1"/>
        <v>0.0566989174349398</v>
      </c>
      <c r="D52"/>
    </row>
    <row r="53" spans="1:3" ht="13.5">
      <c r="A53" s="2">
        <v>0.45</v>
      </c>
      <c r="B53" s="2">
        <f>[1]!genlinv(A53,$B$2,$C$2,$D$2)</f>
        <v>1763.151015632426</v>
      </c>
      <c r="C53" s="2">
        <f t="shared" si="1"/>
        <v>0.05737517998554456</v>
      </c>
    </row>
    <row r="54" spans="1:3" ht="13.5">
      <c r="A54" s="2">
        <v>0.46</v>
      </c>
      <c r="B54" s="2">
        <f>[1]!genlinv(A54,$B$2,$C$2,$D$2)</f>
        <v>1763.3243040754294</v>
      </c>
      <c r="C54" s="2">
        <f t="shared" si="1"/>
        <v>0.05802196080717186</v>
      </c>
    </row>
    <row r="55" spans="1:4" ht="13.5">
      <c r="A55" s="2">
        <v>0.47</v>
      </c>
      <c r="B55" s="2">
        <f>[1]!genlinv(A55,$B$2,$C$2,$D$2)</f>
        <v>1763.4957127043926</v>
      </c>
      <c r="C55" s="2">
        <f t="shared" si="1"/>
        <v>0.0586381374788572</v>
      </c>
      <c r="D55"/>
    </row>
    <row r="56" spans="1:3" ht="13.5">
      <c r="A56" s="2">
        <v>0.48</v>
      </c>
      <c r="B56" s="2">
        <f>[1]!genlinv(A56,$B$2,$C$2,$D$2)</f>
        <v>1763.6653790286919</v>
      </c>
      <c r="C56" s="2">
        <f t="shared" si="1"/>
        <v>0.059219967464246966</v>
      </c>
    </row>
    <row r="57" spans="1:3" ht="13.5">
      <c r="A57" s="2">
        <v>0.49</v>
      </c>
      <c r="B57" s="2">
        <f>[1]!genlinv(A57,$B$2,$C$2,$D$2)</f>
        <v>1763.8334366319189</v>
      </c>
      <c r="C57" s="2">
        <f t="shared" si="1"/>
        <v>0.05976911704551452</v>
      </c>
    </row>
    <row r="58" spans="1:3" ht="13.5">
      <c r="A58" s="2">
        <v>0.5</v>
      </c>
      <c r="B58" s="2">
        <f>[1]!genlinv(A58,$B$2,$C$2,$D$2)</f>
        <v>1764</v>
      </c>
      <c r="C58" s="2">
        <f t="shared" si="1"/>
        <v>0.06028617383463464</v>
      </c>
    </row>
    <row r="59" spans="1:3" ht="13.5">
      <c r="A59" s="2">
        <v>0.51</v>
      </c>
      <c r="B59" s="2">
        <f>[1]!genlinv(A59,$B$2,$C$2,$D$2)</f>
        <v>1764.1651876575331</v>
      </c>
      <c r="C59" s="2">
        <f t="shared" si="1"/>
        <v>0.06076911698587672</v>
      </c>
    </row>
    <row r="60" spans="1:3" ht="13.5">
      <c r="A60" s="2">
        <v>0.52</v>
      </c>
      <c r="B60" s="2">
        <f>[1]!genlinv(A60,$B$2,$C$2,$D$2)</f>
        <v>1764.3291145402795</v>
      </c>
      <c r="C60" s="2">
        <f t="shared" si="1"/>
        <v>0.06121879063820121</v>
      </c>
    </row>
    <row r="61" spans="1:3" ht="13.5">
      <c r="A61" s="2">
        <v>0.53</v>
      </c>
      <c r="B61" s="2">
        <f>[1]!genlinv(A61,$B$2,$C$2,$D$2)</f>
        <v>1764.4918847352033</v>
      </c>
      <c r="C61" s="2">
        <f t="shared" si="1"/>
        <v>0.0616334378545959</v>
      </c>
    </row>
    <row r="62" spans="1:3" ht="13.5">
      <c r="A62" s="2">
        <v>0.54</v>
      </c>
      <c r="B62" s="2">
        <f>[1]!genlinv(A62,$B$2,$C$2,$D$2)</f>
        <v>1764.6536137195592</v>
      </c>
      <c r="C62" s="2">
        <f t="shared" si="1"/>
        <v>0.06201003698564715</v>
      </c>
    </row>
    <row r="63" spans="1:3" ht="13.5">
      <c r="A63" s="2">
        <v>0.55</v>
      </c>
      <c r="B63" s="2">
        <f>[1]!genlinv(A63,$B$2,$C$2,$D$2)</f>
        <v>1764.8144131672477</v>
      </c>
      <c r="C63" s="2">
        <f t="shared" si="1"/>
        <v>0.06235127075311696</v>
      </c>
    </row>
    <row r="64" spans="1:3" ht="13.5">
      <c r="A64" s="2">
        <v>0.56</v>
      </c>
      <c r="B64" s="2">
        <f>[1]!genlinv(A64,$B$2,$C$2,$D$2)</f>
        <v>1764.974377029728</v>
      </c>
      <c r="C64" s="2">
        <f t="shared" si="1"/>
        <v>0.06265718357410362</v>
      </c>
    </row>
    <row r="65" spans="1:3" ht="13.5">
      <c r="A65" s="2">
        <v>0.57</v>
      </c>
      <c r="B65" s="2">
        <f>[1]!genlinv(A65,$B$2,$C$2,$D$2)</f>
        <v>1765.1336104062418</v>
      </c>
      <c r="C65" s="2">
        <f t="shared" si="1"/>
        <v>0.06292243068433327</v>
      </c>
    </row>
    <row r="66" spans="1:3" ht="13.5">
      <c r="A66" s="2">
        <v>0.58</v>
      </c>
      <c r="B66" s="2">
        <f>[1]!genlinv(A66,$B$2,$C$2,$D$2)</f>
        <v>1765.2922287049173</v>
      </c>
      <c r="C66" s="2">
        <f t="shared" si="1"/>
        <v>0.06315017726441766</v>
      </c>
    </row>
    <row r="67" spans="1:3" ht="13.5">
      <c r="A67" s="2">
        <v>0.59</v>
      </c>
      <c r="B67" s="2">
        <f>[1]!genlinv(A67,$B$2,$C$2,$D$2)</f>
        <v>1765.4503157721865</v>
      </c>
      <c r="C67" s="2">
        <f t="shared" si="1"/>
        <v>0.06334096252635749</v>
      </c>
    </row>
    <row r="68" spans="1:3" ht="13.5">
      <c r="A68" s="2">
        <v>0.6</v>
      </c>
      <c r="B68" s="2">
        <f>[1]!genlinv(A68,$B$2,$C$2,$D$2)</f>
        <v>1765.6079801428857</v>
      </c>
      <c r="C68" s="2">
        <f t="shared" si="1"/>
        <v>0.06348716865676406</v>
      </c>
    </row>
    <row r="69" spans="1:3" ht="13.5">
      <c r="A69" s="2">
        <v>0.61</v>
      </c>
      <c r="B69" s="2">
        <f>[1]!genlinv(A69,$B$2,$C$2,$D$2)</f>
        <v>1765.7653400585605</v>
      </c>
      <c r="C69" s="2">
        <f t="shared" si="1"/>
        <v>0.06359257399290336</v>
      </c>
    </row>
    <row r="70" spans="1:3" ht="13.5">
      <c r="A70" s="2">
        <v>0.62</v>
      </c>
      <c r="B70" s="2">
        <f>[1]!genlinv(A70,$B$2,$C$2,$D$2)</f>
        <v>1765.922482273311</v>
      </c>
      <c r="C70" s="2">
        <f t="shared" si="1"/>
        <v>0.06365697047972149</v>
      </c>
    </row>
    <row r="71" spans="1:3" ht="13.5">
      <c r="A71" s="2">
        <v>0.63</v>
      </c>
      <c r="B71" s="2">
        <f>[1]!genlinv(A71,$B$2,$C$2,$D$2)</f>
        <v>1766.0795240332184</v>
      </c>
      <c r="C71" s="2">
        <f t="shared" si="1"/>
        <v>0.06367759787824454</v>
      </c>
    </row>
    <row r="72" spans="1:3" ht="13.5">
      <c r="A72" s="2">
        <v>0.64</v>
      </c>
      <c r="B72" s="2">
        <f>[1]!genlinv(A72,$B$2,$C$2,$D$2)</f>
        <v>1766.2365644728036</v>
      </c>
      <c r="C72" s="2">
        <f t="shared" si="1"/>
        <v>0.06365342627433387</v>
      </c>
    </row>
    <row r="73" spans="1:3" ht="13.5">
      <c r="A73" s="2">
        <v>0.65</v>
      </c>
      <c r="B73" s="2">
        <f>[1]!genlinv(A73,$B$2,$C$2,$D$2)</f>
        <v>1766.3937255015542</v>
      </c>
      <c r="C73" s="2">
        <f aca="true" t="shared" si="2" ref="C73:C107">(A74-A72)/(B74-B72)</f>
        <v>0.06358370744685864</v>
      </c>
    </row>
    <row r="74" spans="1:3" ht="13.5">
      <c r="A74" s="2">
        <v>0.66</v>
      </c>
      <c r="B74" s="2">
        <f>[1]!genlinv(A74,$B$2,$C$2,$D$2)</f>
        <v>1766.551110459552</v>
      </c>
      <c r="C74" s="2">
        <f t="shared" si="2"/>
        <v>0.06346544454691051</v>
      </c>
    </row>
    <row r="75" spans="1:3" ht="13.5">
      <c r="A75" s="2">
        <v>0.67</v>
      </c>
      <c r="B75" s="2">
        <f>[1]!genlinv(A75,$B$2,$C$2,$D$2)</f>
        <v>1766.7088576201863</v>
      </c>
      <c r="C75" s="2">
        <f t="shared" si="2"/>
        <v>0.06329862479714528</v>
      </c>
    </row>
    <row r="76" spans="1:3" ht="13.5">
      <c r="A76" s="2">
        <v>0.68</v>
      </c>
      <c r="B76" s="2">
        <f>[1]!genlinv(A76,$B$2,$C$2,$D$2)</f>
        <v>1766.8670730900847</v>
      </c>
      <c r="C76" s="2">
        <f t="shared" si="2"/>
        <v>0.06308364284885873</v>
      </c>
    </row>
    <row r="77" spans="1:3" ht="13.5">
      <c r="A77" s="2">
        <v>0.69</v>
      </c>
      <c r="B77" s="2">
        <f>[1]!genlinv(A77,$B$2,$C$2,$D$2)</f>
        <v>1767.0258970157697</v>
      </c>
      <c r="C77" s="2">
        <f t="shared" si="2"/>
        <v>0.06281376021623815</v>
      </c>
    </row>
    <row r="78" spans="1:3" ht="13.5">
      <c r="A78" s="2">
        <v>0.7</v>
      </c>
      <c r="B78" s="2">
        <f>[1]!genlinv(A78,$B$2,$C$2,$D$2)</f>
        <v>1767.185474662147</v>
      </c>
      <c r="C78" s="2">
        <f t="shared" si="2"/>
        <v>0.062493060455047905</v>
      </c>
    </row>
    <row r="79" spans="1:3" ht="13.5">
      <c r="A79" s="2">
        <v>0.71</v>
      </c>
      <c r="B79" s="2">
        <f>[1]!genlinv(A79,$B$2,$C$2,$D$2)</f>
        <v>1767.3459325501854</v>
      </c>
      <c r="C79" s="2">
        <f t="shared" si="2"/>
        <v>0.06211849921314316</v>
      </c>
    </row>
    <row r="80" spans="1:3" ht="13.5">
      <c r="A80" s="2">
        <v>0.72</v>
      </c>
      <c r="B80" s="2">
        <f>[1]!genlinv(A80,$B$2,$C$2,$D$2)</f>
        <v>1767.5074399422704</v>
      </c>
      <c r="C80" s="2">
        <f t="shared" si="2"/>
        <v>0.061683258583906386</v>
      </c>
    </row>
    <row r="81" spans="1:3" ht="13.5">
      <c r="A81" s="2">
        <v>0.73</v>
      </c>
      <c r="B81" s="2">
        <f>[1]!genlinv(A81,$B$2,$C$2,$D$2)</f>
        <v>1767.6701696358898</v>
      </c>
      <c r="C81" s="2">
        <f t="shared" si="2"/>
        <v>0.061190955683497375</v>
      </c>
    </row>
    <row r="82" spans="1:3" ht="13.5">
      <c r="A82" s="2">
        <v>0.74</v>
      </c>
      <c r="B82" s="2">
        <f>[1]!genlinv(A82,$B$2,$C$2,$D$2)</f>
        <v>1767.834285630111</v>
      </c>
      <c r="C82" s="2">
        <f t="shared" si="2"/>
        <v>0.060636839834222245</v>
      </c>
    </row>
    <row r="83" spans="1:3" ht="13.5">
      <c r="A83" s="2">
        <v>0.75</v>
      </c>
      <c r="B83" s="2">
        <f>[1]!genlinv(A83,$B$2,$C$2,$D$2)</f>
        <v>1768.0000021280625</v>
      </c>
      <c r="C83" s="2">
        <f t="shared" si="2"/>
        <v>0.06001974497820458</v>
      </c>
    </row>
    <row r="84" spans="1:3" ht="13.5">
      <c r="A84" s="2">
        <v>0.76</v>
      </c>
      <c r="B84" s="2">
        <f>[1]!genlinv(A84,$B$2,$C$2,$D$2)</f>
        <v>1768.1675093052077</v>
      </c>
      <c r="C84" s="2">
        <f t="shared" si="2"/>
        <v>0.05933740035915188</v>
      </c>
    </row>
    <row r="85" spans="1:3" ht="13.5">
      <c r="A85" s="2">
        <v>0.77</v>
      </c>
      <c r="B85" s="2">
        <f>[1]!genlinv(A85,$B$2,$C$2,$D$2)</f>
        <v>1768.3370576761477</v>
      </c>
      <c r="C85" s="2">
        <f t="shared" si="2"/>
        <v>0.058583174830751435</v>
      </c>
    </row>
    <row r="86" spans="1:3" ht="13.5">
      <c r="A86" s="2">
        <v>0.78</v>
      </c>
      <c r="B86" s="2">
        <f>[1]!genlinv(A86,$B$2,$C$2,$D$2)</f>
        <v>1768.5089042544876</v>
      </c>
      <c r="C86" s="2">
        <f t="shared" si="2"/>
        <v>0.057757002169148655</v>
      </c>
    </row>
    <row r="87" spans="1:3" ht="13.5">
      <c r="A87" s="2">
        <v>0.79</v>
      </c>
      <c r="B87" s="2">
        <f>[1]!genlinv(A87,$B$2,$C$2,$D$2)</f>
        <v>1768.6833360363269</v>
      </c>
      <c r="C87" s="2">
        <f t="shared" si="2"/>
        <v>0.05685639123158477</v>
      </c>
    </row>
    <row r="88" spans="1:3" ht="13.5">
      <c r="A88" s="2">
        <v>0.8</v>
      </c>
      <c r="B88" s="2">
        <f>[1]!genlinv(A88,$B$2,$C$2,$D$2)</f>
        <v>1768.86066769861</v>
      </c>
      <c r="C88" s="2">
        <f t="shared" si="2"/>
        <v>0.05587633552931393</v>
      </c>
    </row>
    <row r="89" spans="1:3" ht="13.5">
      <c r="A89" s="2">
        <v>0.8100000000000005</v>
      </c>
      <c r="B89" s="2">
        <f>[1]!genlinv(A89,$B$2,$C$2,$D$2)</f>
        <v>1769.041269315425</v>
      </c>
      <c r="C89" s="2">
        <f t="shared" si="2"/>
        <v>0.054811792552652054</v>
      </c>
    </row>
    <row r="90" spans="1:3" ht="13.5">
      <c r="A90" s="2">
        <v>0.8200000000000005</v>
      </c>
      <c r="B90" s="2">
        <f>[1]!genlinv(A90,$B$2,$C$2,$D$2)</f>
        <v>1769.2255526817237</v>
      </c>
      <c r="C90" s="2">
        <f t="shared" si="2"/>
        <v>0.05366013621483575</v>
      </c>
    </row>
    <row r="91" spans="1:3" ht="13.5">
      <c r="A91" s="2">
        <v>0.8300000000000005</v>
      </c>
      <c r="B91" s="2">
        <f>[1]!genlinv(A91,$B$2,$C$2,$D$2)</f>
        <v>1769.4139854770078</v>
      </c>
      <c r="C91" s="2">
        <f t="shared" si="2"/>
        <v>0.052414023548964725</v>
      </c>
    </row>
    <row r="92" spans="1:3" ht="13.5">
      <c r="A92" s="2">
        <v>0.8400000000000005</v>
      </c>
      <c r="B92" s="2">
        <f>[1]!genlinv(A92,$B$2,$C$2,$D$2)</f>
        <v>1769.6071299514274</v>
      </c>
      <c r="C92" s="2">
        <f t="shared" si="2"/>
        <v>0.05106792907213738</v>
      </c>
    </row>
    <row r="93" spans="1:3" ht="13.5">
      <c r="A93" s="2">
        <v>0.8500000000000005</v>
      </c>
      <c r="B93" s="2">
        <f>[1]!genlinv(A93,$B$2,$C$2,$D$2)</f>
        <v>1769.8056207041138</v>
      </c>
      <c r="C93" s="2">
        <f t="shared" si="2"/>
        <v>0.04961587712038491</v>
      </c>
    </row>
    <row r="94" spans="1:3" ht="13.5">
      <c r="A94" s="2">
        <v>0.8600000000000005</v>
      </c>
      <c r="B94" s="2">
        <f>[1]!genlinv(A94,$B$2,$C$2,$D$2)</f>
        <v>1770.0102267252983</v>
      </c>
      <c r="C94" s="2">
        <f t="shared" si="2"/>
        <v>0.0480519339543656</v>
      </c>
    </row>
    <row r="95" spans="1:3" ht="13.5">
      <c r="A95" s="2">
        <v>0.8700000000000006</v>
      </c>
      <c r="B95" s="2">
        <f>[1]!genlinv(A95,$B$2,$C$2,$D$2)</f>
        <v>1770.2218370424405</v>
      </c>
      <c r="C95" s="2">
        <f t="shared" si="2"/>
        <v>0.04636550375256353</v>
      </c>
    </row>
    <row r="96" spans="1:3" ht="13.5">
      <c r="A96" s="2">
        <v>0.8800000000000006</v>
      </c>
      <c r="B96" s="2">
        <f>[1]!genlinv(A96,$B$2,$C$2,$D$2)</f>
        <v>1770.4415819006185</v>
      </c>
      <c r="C96" s="2">
        <f t="shared" si="2"/>
        <v>0.04454577837926807</v>
      </c>
    </row>
    <row r="97" spans="1:3" ht="13.5">
      <c r="A97" s="2">
        <v>0.8900000000000006</v>
      </c>
      <c r="B97" s="2">
        <f>[1]!genlinv(A97,$B$2,$C$2,$D$2)</f>
        <v>1770.6708133703366</v>
      </c>
      <c r="C97" s="2">
        <f t="shared" si="2"/>
        <v>0.04258314604711489</v>
      </c>
    </row>
    <row r="98" spans="1:3" ht="13.5">
      <c r="A98" s="2">
        <v>0.9000000000000006</v>
      </c>
      <c r="B98" s="2">
        <f>[1]!genlinv(A98,$B$2,$C$2,$D$2)</f>
        <v>1770.911251285259</v>
      </c>
      <c r="C98" s="2">
        <f t="shared" si="2"/>
        <v>0.04046073233346241</v>
      </c>
    </row>
    <row r="99" spans="1:3" ht="13.5">
      <c r="A99" s="2">
        <v>0.9100000000000006</v>
      </c>
      <c r="B99" s="2">
        <f>[1]!genlinv(A99,$B$2,$C$2,$D$2)</f>
        <v>1771.1651197965073</v>
      </c>
      <c r="C99" s="2">
        <f t="shared" si="2"/>
        <v>0.03816092060462895</v>
      </c>
    </row>
    <row r="100" spans="1:3" ht="13.5">
      <c r="A100" s="2">
        <v>0.9200000000000006</v>
      </c>
      <c r="B100" s="2">
        <f>[1]!genlinv(A100,$B$2,$C$2,$D$2)</f>
        <v>1771.4353476561828</v>
      </c>
      <c r="C100" s="2">
        <f t="shared" si="2"/>
        <v>0.03566485836951388</v>
      </c>
    </row>
    <row r="101" spans="1:3" ht="13.5">
      <c r="A101" s="2">
        <v>0.9300000000000006</v>
      </c>
      <c r="B101" s="2">
        <f>[1]!genlinv(A101,$B$2,$C$2,$D$2)</f>
        <v>1771.725895891362</v>
      </c>
      <c r="C101" s="2">
        <f t="shared" si="2"/>
        <v>0.03294304716541972</v>
      </c>
    </row>
    <row r="102" spans="1:3" ht="13.5">
      <c r="A102" s="2">
        <v>0.9400000000000006</v>
      </c>
      <c r="B102" s="2">
        <f>[1]!genlinv(A102,$B$2,$C$2,$D$2)</f>
        <v>1772.042456036278</v>
      </c>
      <c r="C102" s="2">
        <f t="shared" si="2"/>
        <v>0.029955438753913228</v>
      </c>
    </row>
    <row r="103" spans="1:3" ht="13.5">
      <c r="A103" s="2">
        <v>0.9500000000000006</v>
      </c>
      <c r="B103" s="2">
        <f>[1]!genlinv(A103,$B$2,$C$2,$D$2)</f>
        <v>1772.393554281022</v>
      </c>
      <c r="C103" s="2">
        <f t="shared" si="2"/>
        <v>0.026650861193733662</v>
      </c>
    </row>
    <row r="104" spans="1:3" ht="13.5">
      <c r="A104" s="2">
        <v>0.9600000000000006</v>
      </c>
      <c r="B104" s="2">
        <f>[1]!genlinv(A104,$B$2,$C$2,$D$2)</f>
        <v>1772.7929008288352</v>
      </c>
      <c r="C104" s="2">
        <f t="shared" si="2"/>
        <v>0.02294912112890762</v>
      </c>
    </row>
    <row r="105" spans="1:3" ht="13.5">
      <c r="A105" s="2">
        <v>0.9700000000000006</v>
      </c>
      <c r="B105" s="2">
        <f>[1]!genlinv(A105,$B$2,$C$2,$D$2)</f>
        <v>1773.2650473498702</v>
      </c>
      <c r="C105" s="2">
        <f t="shared" si="2"/>
        <v>0.018706249773089354</v>
      </c>
    </row>
    <row r="106" spans="1:3" ht="13.5">
      <c r="A106" s="2">
        <v>0.9800000000000006</v>
      </c>
      <c r="B106" s="2">
        <f>[1]!genlinv(A106,$B$2,$C$2,$D$2)</f>
        <v>1773.8620622183496</v>
      </c>
      <c r="C106" s="2">
        <f t="shared" si="2"/>
        <v>0.013593688642708912</v>
      </c>
    </row>
    <row r="107" spans="1:3" ht="13.5">
      <c r="A107" s="2">
        <v>0.9900000000000007</v>
      </c>
      <c r="B107" s="2">
        <f>[1]!genlinv(A107,$B$2,$C$2,$D$2)</f>
        <v>1774.7363183584737</v>
      </c>
      <c r="C107" s="2">
        <f t="shared" si="2"/>
        <v>0.006455990658211648</v>
      </c>
    </row>
    <row r="108" spans="1:2" ht="13.5">
      <c r="A108" s="2">
        <v>0.999</v>
      </c>
      <c r="B108" s="2">
        <f>[1]!genlinv(A108,$B$2,$C$2,$D$2)</f>
        <v>1776.8050652376976</v>
      </c>
    </row>
  </sheetData>
  <printOptions gridLines="1" headings="1"/>
  <pageMargins left="1" right="1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"/>
    </sheetView>
  </sheetViews>
  <sheetFormatPr defaultColWidth="9.00390625" defaultRowHeight="13.5"/>
  <cols>
    <col min="4" max="4" width="5.875" style="0" customWidth="1"/>
    <col min="5" max="5" width="10.875" style="0" customWidth="1"/>
    <col min="6" max="8" width="9.125" style="0" customWidth="1"/>
  </cols>
  <sheetData>
    <row r="1" ht="13.5">
      <c r="A1" s="3" t="s">
        <v>196</v>
      </c>
    </row>
    <row r="2" spans="1:6" ht="13.5">
      <c r="A2" s="3" t="s">
        <v>197</v>
      </c>
      <c r="F2" t="s">
        <v>198</v>
      </c>
    </row>
    <row r="3" spans="1:6" ht="13.5">
      <c r="A3">
        <v>23</v>
      </c>
      <c r="B3">
        <v>26</v>
      </c>
      <c r="C3">
        <v>29</v>
      </c>
      <c r="F3">
        <v>0.95</v>
      </c>
    </row>
    <row r="4" ht="13.5">
      <c r="I4">
        <v>20</v>
      </c>
    </row>
    <row r="5" spans="1:9" ht="13.5">
      <c r="A5" s="3" t="s">
        <v>199</v>
      </c>
      <c r="F5" s="43" t="s">
        <v>200</v>
      </c>
      <c r="I5">
        <v>-10</v>
      </c>
    </row>
    <row r="6" spans="1:9" ht="13.5">
      <c r="A6">
        <v>80</v>
      </c>
      <c r="B6">
        <v>100</v>
      </c>
      <c r="C6">
        <v>125</v>
      </c>
      <c r="F6" s="44">
        <f>[1]!RISKTOL(20,-10,2)</f>
        <v>36.489104290541825</v>
      </c>
      <c r="I6">
        <v>3.6</v>
      </c>
    </row>
    <row r="7" spans="1:9" ht="13.5">
      <c r="A7" s="3"/>
      <c r="I7">
        <f>[1]!RISKTOL(I4,I5,I6)</f>
        <v>79.88938717667924</v>
      </c>
    </row>
    <row r="8" spans="1:5" ht="13.5">
      <c r="A8" s="12" t="s">
        <v>201</v>
      </c>
      <c r="B8" s="4" t="s">
        <v>202</v>
      </c>
      <c r="E8" t="s">
        <v>203</v>
      </c>
    </row>
    <row r="9" spans="1:5" ht="13.5">
      <c r="A9" s="24">
        <v>1</v>
      </c>
      <c r="B9" s="25">
        <v>0.1</v>
      </c>
      <c r="C9" s="3"/>
      <c r="E9" t="s">
        <v>204</v>
      </c>
    </row>
    <row r="10" spans="1:5" ht="13.5">
      <c r="A10" s="24">
        <v>2</v>
      </c>
      <c r="B10" s="25">
        <v>0.25</v>
      </c>
      <c r="E10" t="s">
        <v>205</v>
      </c>
    </row>
    <row r="11" spans="1:5" ht="13.5">
      <c r="A11" s="24">
        <v>3</v>
      </c>
      <c r="B11" s="25">
        <v>0.3</v>
      </c>
      <c r="E11" t="s">
        <v>206</v>
      </c>
    </row>
    <row r="12" spans="1:5" ht="13.5">
      <c r="A12" s="24">
        <v>4</v>
      </c>
      <c r="B12" s="25">
        <v>0.25</v>
      </c>
      <c r="E12" t="s">
        <v>207</v>
      </c>
    </row>
    <row r="13" spans="1:5" ht="13.5">
      <c r="A13" s="24">
        <v>5</v>
      </c>
      <c r="B13" s="25">
        <v>0.1</v>
      </c>
      <c r="E13" t="s">
        <v>208</v>
      </c>
    </row>
    <row r="14" ht="13.5">
      <c r="E14" t="s">
        <v>209</v>
      </c>
    </row>
    <row r="15" spans="1:5" ht="13.5">
      <c r="A15" s="3" t="s">
        <v>210</v>
      </c>
      <c r="E15" t="s">
        <v>211</v>
      </c>
    </row>
    <row r="16" spans="1:5" ht="13.5">
      <c r="A16" s="28">
        <f ca="1">[1]!genlinv(RAND(),A3,B3,C3)</f>
        <v>22.266826629638672</v>
      </c>
      <c r="B16" t="s">
        <v>212</v>
      </c>
      <c r="E16" t="s">
        <v>213</v>
      </c>
    </row>
    <row r="17" spans="1:5" ht="13.5">
      <c r="A17">
        <f ca="1">IF(RAND()&lt;F3,1,0)</f>
        <v>1</v>
      </c>
      <c r="B17" t="s">
        <v>214</v>
      </c>
      <c r="E17" t="s">
        <v>215</v>
      </c>
    </row>
    <row r="18" spans="1:5" ht="13.5">
      <c r="A18" s="28">
        <f ca="1">A17*[1]!genlinv(RAND(),A6,B6,C6)</f>
        <v>82.06484333466966</v>
      </c>
      <c r="B18" t="s">
        <v>216</v>
      </c>
      <c r="E18" t="s">
        <v>217</v>
      </c>
    </row>
    <row r="19" spans="1:5" ht="13.5">
      <c r="A19">
        <f ca="1">[1]!DISCRINV(RAND(),A9:A13,B9:B13)</f>
        <v>5</v>
      </c>
      <c r="B19" t="s">
        <v>218</v>
      </c>
      <c r="E19" t="s">
        <v>219</v>
      </c>
    </row>
    <row r="20" spans="1:5" ht="13.5">
      <c r="A20" s="28">
        <f>A18/(1+A19)-A16</f>
        <v>-8.589352740527062</v>
      </c>
      <c r="B20" t="s">
        <v>220</v>
      </c>
      <c r="E20" s="43" t="s">
        <v>221</v>
      </c>
    </row>
    <row r="21" ht="13.5">
      <c r="A21" s="41" t="str">
        <f>IF(B30="","Make SimTable A27:B828. Then sort the data!","")</f>
        <v>Make SimTable A27:B828. Then sort the data!</v>
      </c>
    </row>
    <row r="22" ht="13.5">
      <c r="A22" t="s">
        <v>222</v>
      </c>
    </row>
    <row r="23" spans="2:6" ht="13.5">
      <c r="B23" s="28">
        <f>AVERAGE(B28:B828)</f>
        <v>-36.54638481140137</v>
      </c>
      <c r="C23" t="s">
        <v>223</v>
      </c>
      <c r="E23" s="3" t="s">
        <v>224</v>
      </c>
      <c r="F23" s="3" t="s">
        <v>225</v>
      </c>
    </row>
    <row r="24" spans="2:7" ht="13.5">
      <c r="B24" s="28">
        <f>STDEV(B28:B828)</f>
        <v>1.060759975517095</v>
      </c>
      <c r="C24" t="s">
        <v>226</v>
      </c>
      <c r="E24">
        <f>COUNT(B28:B828)</f>
        <v>2</v>
      </c>
      <c r="F24" s="28">
        <f>B23-1.96*B24/(E24^0.5)</f>
        <v>-38.01652313232422</v>
      </c>
      <c r="G24" s="28">
        <f>B23+1.96*B24/(E24^0.5)</f>
        <v>-35.07624649047852</v>
      </c>
    </row>
    <row r="25" spans="2:3" ht="13.5">
      <c r="B25" s="43">
        <f>[1]!ce(B28:B828,F6)</f>
        <v>-36.55409349947055</v>
      </c>
      <c r="C25" s="45" t="s">
        <v>227</v>
      </c>
    </row>
    <row r="26" ht="13.5">
      <c r="B26" s="3" t="s">
        <v>228</v>
      </c>
    </row>
    <row r="27" spans="1:2" ht="13.5">
      <c r="A27" s="26" t="s">
        <v>143</v>
      </c>
      <c r="B27" s="27">
        <f>A20</f>
        <v>-8.589352740527062</v>
      </c>
    </row>
    <row r="28" spans="1:2" ht="13.5">
      <c r="A28">
        <v>0</v>
      </c>
      <c r="B28">
        <v>-37.29645538330078</v>
      </c>
    </row>
    <row r="29" spans="1:2" ht="13.5">
      <c r="A29">
        <v>0.00125</v>
      </c>
      <c r="B29">
        <v>-35.79631423950195</v>
      </c>
    </row>
    <row r="44" ht="13.5">
      <c r="C44" s="18" t="s">
        <v>229</v>
      </c>
    </row>
    <row r="45" ht="13.5">
      <c r="C45" s="18" t="s">
        <v>230</v>
      </c>
    </row>
  </sheetData>
  <printOptions gridLines="1" headings="1"/>
  <pageMargins left="1" right="1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A1" sqref="A1"/>
    </sheetView>
  </sheetViews>
  <sheetFormatPr defaultColWidth="9.00390625" defaultRowHeight="13.5"/>
  <cols>
    <col min="1" max="7" width="8.75390625" style="0" customWidth="1"/>
    <col min="8" max="8" width="11.625" style="0" customWidth="1"/>
  </cols>
  <sheetData>
    <row r="1" spans="1:3" ht="13.5">
      <c r="A1" s="3" t="s">
        <v>231</v>
      </c>
      <c r="C1" s="3"/>
    </row>
    <row r="2" ht="13.5">
      <c r="A2">
        <v>6000</v>
      </c>
    </row>
    <row r="4" spans="1:3" ht="13.5">
      <c r="A4" s="3" t="s">
        <v>232</v>
      </c>
      <c r="C4" s="3"/>
    </row>
    <row r="5" ht="13.5">
      <c r="A5">
        <v>9000</v>
      </c>
    </row>
    <row r="6" spans="1:3" ht="13.5">
      <c r="A6" s="3" t="s">
        <v>233</v>
      </c>
      <c r="C6" s="38" t="s">
        <v>234</v>
      </c>
    </row>
    <row r="7" spans="1:3" ht="13.5">
      <c r="A7">
        <v>3000</v>
      </c>
      <c r="C7" s="39" t="s">
        <v>235</v>
      </c>
    </row>
    <row r="8" ht="13.5">
      <c r="C8" s="38" t="s">
        <v>236</v>
      </c>
    </row>
    <row r="9" spans="1:9" ht="13.5">
      <c r="A9" s="3" t="s">
        <v>237</v>
      </c>
      <c r="C9" s="38" t="s">
        <v>238</v>
      </c>
      <c r="I9" t="s">
        <v>239</v>
      </c>
    </row>
    <row r="10" spans="1:10" ht="13.5">
      <c r="A10">
        <f>A5-0.5*(A7^2)/A2</f>
        <v>8250</v>
      </c>
      <c r="C10" s="38" t="s">
        <v>240</v>
      </c>
      <c r="I10">
        <f>NORMSDIST(-0.5*A7/A2)</f>
        <v>0.4012937262208094</v>
      </c>
      <c r="J10">
        <f>NORMSDIST((A10-A5)/A7)</f>
        <v>0.4012937262208094</v>
      </c>
    </row>
    <row r="12" ht="13.5">
      <c r="A12" t="s">
        <v>241</v>
      </c>
    </row>
    <row r="13" spans="1:4" ht="13.5">
      <c r="A13" t="s">
        <v>242</v>
      </c>
      <c r="B13" t="s">
        <v>243</v>
      </c>
      <c r="C13" t="s">
        <v>244</v>
      </c>
      <c r="D13" s="3" t="s">
        <v>245</v>
      </c>
    </row>
    <row r="14" spans="1:4" ht="13.5">
      <c r="A14">
        <f>[1]!ce(B20:B420,A2)</f>
        <v>8488.678839961398</v>
      </c>
      <c r="B14">
        <f>AVERAGE(B20:B420)</f>
        <v>10641.769813431893</v>
      </c>
      <c r="C14">
        <f>AVERAGE(C20:C420)</f>
        <v>-0.24297910994045213</v>
      </c>
      <c r="D14">
        <f>[1]!UINV(C14,A2)</f>
        <v>8488.678839961398</v>
      </c>
    </row>
    <row r="15" spans="2:3" ht="13.5">
      <c r="B15" t="s">
        <v>246</v>
      </c>
      <c r="C15" t="s">
        <v>247</v>
      </c>
    </row>
    <row r="16" spans="2:6" ht="13.5">
      <c r="B16">
        <f>STDEV(B20:B420)</f>
        <v>7625.115790706202</v>
      </c>
      <c r="C16">
        <f>STDEV(C20:C420)</f>
        <v>0.24590769395249085</v>
      </c>
      <c r="E16" s="10" t="s">
        <v>248</v>
      </c>
      <c r="F16">
        <f>COUNT(C20:C420)</f>
        <v>2</v>
      </c>
    </row>
    <row r="17" ht="13.5">
      <c r="E17" t="s">
        <v>249</v>
      </c>
    </row>
    <row r="18" spans="2:7" ht="13.5">
      <c r="B18" s="3" t="s">
        <v>250</v>
      </c>
      <c r="C18" t="s">
        <v>251</v>
      </c>
      <c r="E18" s="3" t="s">
        <v>244</v>
      </c>
      <c r="F18">
        <f>C14-1.96*C16/F16^0.5</f>
        <v>-0.5837897859023669</v>
      </c>
      <c r="G18">
        <f>C14+1.96*C16/F16^0.5</f>
        <v>0.09783156602146265</v>
      </c>
    </row>
    <row r="19" spans="1:7" ht="13.5">
      <c r="A19" s="26" t="s">
        <v>143</v>
      </c>
      <c r="B19" s="26">
        <f ca="1">NORMINV(RAND(),A5,A7)</f>
        <v>10726.871232676785</v>
      </c>
      <c r="E19" s="3" t="s">
        <v>242</v>
      </c>
      <c r="F19">
        <f>[1]!UINV(F18,$A$2)</f>
        <v>3229.285899600758</v>
      </c>
      <c r="G19" t="e">
        <f>[1]!UINV(G18,$A$2)</f>
        <v>#NUM!</v>
      </c>
    </row>
    <row r="20" spans="1:3" ht="13.5">
      <c r="A20">
        <v>0</v>
      </c>
      <c r="B20">
        <v>16033.54089637287</v>
      </c>
      <c r="C20">
        <f>[1]!UTIL(B20,$A$2)</f>
        <v>-0.06909611200069973</v>
      </c>
    </row>
    <row r="21" spans="1:5" ht="13.5">
      <c r="A21">
        <v>0.0025</v>
      </c>
      <c r="B21">
        <v>5249.9987304909155</v>
      </c>
      <c r="C21">
        <f>[1]!UTIL(B21,$A$2)</f>
        <v>-0.41686210788020456</v>
      </c>
      <c r="E21" t="s">
        <v>252</v>
      </c>
    </row>
    <row r="22" spans="4:5" ht="13.5">
      <c r="D22" s="40" t="str">
        <f>IF(C22="","Make A19:B420 simtable, copy C21 down!","")</f>
        <v>Make A19:B420 simtable, copy C21 down!</v>
      </c>
      <c r="E22" t="s">
        <v>253</v>
      </c>
    </row>
    <row r="23" ht="13.5">
      <c r="E23" t="s">
        <v>254</v>
      </c>
    </row>
    <row r="24" ht="13.5">
      <c r="E24" s="3" t="s">
        <v>255</v>
      </c>
    </row>
    <row r="25" ht="13.5">
      <c r="E25" s="3" t="s">
        <v>256</v>
      </c>
    </row>
    <row r="26" ht="13.5">
      <c r="E26" s="3" t="s">
        <v>257</v>
      </c>
    </row>
    <row r="27" ht="13.5">
      <c r="E27" t="s">
        <v>258</v>
      </c>
    </row>
    <row r="28" ht="13.5">
      <c r="E28" s="3" t="s">
        <v>259</v>
      </c>
    </row>
    <row r="29" ht="13.5">
      <c r="E29" s="3" t="s">
        <v>260</v>
      </c>
    </row>
    <row r="30" ht="13.5">
      <c r="E30" t="s">
        <v>261</v>
      </c>
    </row>
    <row r="31" ht="13.5">
      <c r="E31" s="3" t="s">
        <v>262</v>
      </c>
    </row>
    <row r="32" ht="13.5">
      <c r="E32" s="3" t="s">
        <v>263</v>
      </c>
    </row>
    <row r="33" ht="13.5">
      <c r="E33" t="s">
        <v>264</v>
      </c>
    </row>
    <row r="34" ht="13.5">
      <c r="E34" t="s">
        <v>265</v>
      </c>
    </row>
    <row r="35" ht="13.5">
      <c r="E35" t="s">
        <v>266</v>
      </c>
    </row>
    <row r="36" ht="13.5">
      <c r="E36" t="s">
        <v>267</v>
      </c>
    </row>
  </sheetData>
  <printOptions gridLines="1" headings="1"/>
  <pageMargins left="1" right="1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1" sqref="A1"/>
    </sheetView>
  </sheetViews>
  <sheetFormatPr defaultColWidth="9.00390625" defaultRowHeight="13.5"/>
  <sheetData>
    <row r="1" spans="1:9" ht="13.5">
      <c r="A1" t="s">
        <v>0</v>
      </c>
      <c r="B1" t="s">
        <v>1</v>
      </c>
      <c r="I1" s="5" t="s">
        <v>268</v>
      </c>
    </row>
    <row r="2" spans="1:9" ht="13.5">
      <c r="A2">
        <v>4</v>
      </c>
      <c r="B2">
        <v>3</v>
      </c>
      <c r="D2" s="29" t="str">
        <f>"Probability densities, with mean = "&amp;A2&amp;" and stdev = "&amp;B2</f>
        <v>Probability densities, with mean = 4 and stdev = 3</v>
      </c>
      <c r="I2" s="5" t="s">
        <v>269</v>
      </c>
    </row>
    <row r="3" ht="13.5">
      <c r="I3" s="30" t="s">
        <v>270</v>
      </c>
    </row>
    <row r="4" ht="13.5">
      <c r="I4" s="5" t="s">
        <v>271</v>
      </c>
    </row>
    <row r="5" ht="13.5">
      <c r="I5" s="30" t="s">
        <v>272</v>
      </c>
    </row>
    <row r="6" ht="13.5">
      <c r="I6" s="5" t="s">
        <v>273</v>
      </c>
    </row>
    <row r="7" ht="13.5">
      <c r="I7" s="30" t="s">
        <v>274</v>
      </c>
    </row>
    <row r="8" ht="13.5">
      <c r="I8" s="5" t="s">
        <v>275</v>
      </c>
    </row>
    <row r="9" ht="13.5">
      <c r="I9" s="30" t="s">
        <v>276</v>
      </c>
    </row>
    <row r="10" ht="13.5">
      <c r="I10" s="5" t="s">
        <v>277</v>
      </c>
    </row>
    <row r="11" ht="13.5">
      <c r="I11" s="30" t="s">
        <v>278</v>
      </c>
    </row>
    <row r="12" ht="13.5">
      <c r="I12" s="5" t="s">
        <v>279</v>
      </c>
    </row>
    <row r="13" ht="13.5">
      <c r="I13" s="30" t="s">
        <v>280</v>
      </c>
    </row>
    <row r="19" spans="2:7" ht="13.5">
      <c r="B19" s="3" t="s">
        <v>281</v>
      </c>
      <c r="C19" t="s">
        <v>282</v>
      </c>
      <c r="D19" t="s">
        <v>283</v>
      </c>
      <c r="E19" t="s">
        <v>284</v>
      </c>
      <c r="F19" s="3" t="s">
        <v>285</v>
      </c>
      <c r="G19" t="s">
        <v>286</v>
      </c>
    </row>
    <row r="20" spans="1:7" ht="13.5">
      <c r="A20">
        <v>0.001</v>
      </c>
      <c r="B20">
        <f>[1]!LNORMINV(A20,$A$2,$B$2)</f>
        <v>0.4060501533170731</v>
      </c>
      <c r="C20" t="s">
        <v>287</v>
      </c>
      <c r="D20">
        <f>[1]!GAMINV(A20,$A$2,$B$2)</f>
        <v>0.06175469025038183</v>
      </c>
      <c r="E20" t="s">
        <v>287</v>
      </c>
      <c r="F20">
        <f>NORMINV(A20,$A$2,$B$2)</f>
        <v>-5.270734153687954</v>
      </c>
      <c r="G20" t="s">
        <v>287</v>
      </c>
    </row>
    <row r="21" spans="1:7" ht="13.5">
      <c r="A21">
        <v>0.01</v>
      </c>
      <c r="B21">
        <f>[1]!LNORMINV(A21,$A$2,$B$2)</f>
        <v>0.6764102845146505</v>
      </c>
      <c r="C21">
        <f>($A22-$A20)/(B22-B20)</f>
        <v>0.046859566187368216</v>
      </c>
      <c r="D21">
        <f>[1]!GAMINV(A21,$A$2,$B$2)</f>
        <v>0.23168468032963574</v>
      </c>
      <c r="E21">
        <f>($A22-$A20)/(D22-D20)</f>
        <v>0.06625454609033649</v>
      </c>
      <c r="F21">
        <f>NORMINV(A21,$A$2,$B$2)</f>
        <v>-2.9790257839486003</v>
      </c>
      <c r="G21">
        <f>($A22-$A20)/(F22-F20)</f>
        <v>0.0061103275091970565</v>
      </c>
    </row>
    <row r="22" spans="1:7" ht="13.5">
      <c r="A22">
        <v>0.02</v>
      </c>
      <c r="B22">
        <f>[1]!LNORMINV(A22,$A$2,$B$2)</f>
        <v>0.8115169884992086</v>
      </c>
      <c r="C22">
        <f aca="true" t="shared" si="0" ref="C22:C37">($A23-$A21)/(B23-B21)</f>
        <v>0.08528604853337544</v>
      </c>
      <c r="D22">
        <f>[1]!GAMINV(A22,$A$2,$B$2)</f>
        <v>0.34852746466640383</v>
      </c>
      <c r="E22">
        <f aca="true" t="shared" si="1" ref="E22:E37">($A23-$A21)/(D23-D21)</f>
        <v>0.09399141971071977</v>
      </c>
      <c r="F22">
        <f aca="true" t="shared" si="2" ref="F22:F37">NORMINV(A22,$A$2,$B$2)</f>
        <v>-2.161244527902454</v>
      </c>
      <c r="G22">
        <f aca="true" t="shared" si="3" ref="G22:G37">($A23-$A21)/(F23-F21)</f>
        <v>0.014962700848163191</v>
      </c>
    </row>
    <row r="23" spans="1:7" ht="13.5">
      <c r="A23">
        <v>0.03</v>
      </c>
      <c r="B23">
        <f>[1]!LNORMINV(A23,$A$2,$B$2)</f>
        <v>0.9109152281007434</v>
      </c>
      <c r="C23">
        <f t="shared" si="0"/>
        <v>0.1098218997361336</v>
      </c>
      <c r="D23">
        <f>[1]!GAMINV(A23,$A$2,$B$2)</f>
        <v>0.44447006075643003</v>
      </c>
      <c r="E23">
        <f t="shared" si="1"/>
        <v>0.11048147385209003</v>
      </c>
      <c r="F23">
        <f t="shared" si="2"/>
        <v>-1.6423687055939808</v>
      </c>
      <c r="G23">
        <f t="shared" si="3"/>
        <v>0.021997711777524357</v>
      </c>
    </row>
    <row r="24" spans="1:7" ht="13.5">
      <c r="A24">
        <v>0.04</v>
      </c>
      <c r="B24">
        <f>[1]!LNORMINV(A24,$A$2,$B$2)</f>
        <v>0.9936300283214436</v>
      </c>
      <c r="C24">
        <f t="shared" si="0"/>
        <v>0.12860981312625688</v>
      </c>
      <c r="D24">
        <f>[1]!GAMINV(A24,$A$2,$B$2)</f>
        <v>0.5295532901072875</v>
      </c>
      <c r="E24">
        <f t="shared" si="1"/>
        <v>0.1224911993066147</v>
      </c>
      <c r="F24">
        <f t="shared" si="2"/>
        <v>-1.2520590543281287</v>
      </c>
      <c r="G24">
        <f t="shared" si="3"/>
        <v>0.028256182250473827</v>
      </c>
    </row>
    <row r="25" spans="1:7" ht="13.5">
      <c r="A25">
        <v>0.05</v>
      </c>
      <c r="B25">
        <f>[1]!LNORMINV(A25,$A$2,$B$2)</f>
        <v>1.0664243569443248</v>
      </c>
      <c r="C25">
        <f t="shared" si="0"/>
        <v>0.14394677464338537</v>
      </c>
      <c r="D25">
        <f>[1]!GAMINV(A25,$A$2,$B$2)</f>
        <v>0.607747097092215</v>
      </c>
      <c r="E25">
        <f t="shared" si="1"/>
        <v>0.1319625093346135</v>
      </c>
      <c r="F25">
        <f t="shared" si="2"/>
        <v>-0.9345590014127083</v>
      </c>
      <c r="G25">
        <f t="shared" si="3"/>
        <v>0.034028492263621306</v>
      </c>
    </row>
    <row r="26" spans="1:7" ht="13.5">
      <c r="A26">
        <v>0.06</v>
      </c>
      <c r="B26">
        <f>[1]!LNORMINV(A26,$A$2,$B$2)</f>
        <v>1.132570272377263</v>
      </c>
      <c r="C26">
        <f t="shared" si="0"/>
        <v>0.15685292770426568</v>
      </c>
      <c r="D26">
        <f>[1]!GAMINV(A26,$A$2,$B$2)</f>
        <v>0.6811114872107282</v>
      </c>
      <c r="E26">
        <f t="shared" si="1"/>
        <v>0.13972254379718527</v>
      </c>
      <c r="F26">
        <f t="shared" si="2"/>
        <v>-0.6643162932014093</v>
      </c>
      <c r="G26">
        <f t="shared" si="3"/>
        <v>0.03943339978215923</v>
      </c>
    </row>
    <row r="27" spans="1:7" ht="13.5">
      <c r="A27">
        <v>0.07</v>
      </c>
      <c r="B27">
        <f>[1]!LNORMINV(A27,$A$2,$B$2)</f>
        <v>1.1939323371441493</v>
      </c>
      <c r="C27">
        <f t="shared" si="0"/>
        <v>0.16789740249329435</v>
      </c>
      <c r="D27">
        <f>[1]!GAMINV(A27,$A$2,$B$2)</f>
        <v>0.7508879207307473</v>
      </c>
      <c r="E27">
        <f t="shared" si="1"/>
        <v>0.14622137479566463</v>
      </c>
      <c r="F27">
        <f t="shared" si="2"/>
        <v>-0.427374733495526</v>
      </c>
      <c r="G27">
        <f t="shared" si="3"/>
        <v>0.0445340230171431</v>
      </c>
    </row>
    <row r="28" spans="1:7" ht="13.5">
      <c r="A28">
        <v>0.08</v>
      </c>
      <c r="B28">
        <f>[1]!LNORMINV(A28,$A$2,$B$2)</f>
        <v>1.251690638166119</v>
      </c>
      <c r="C28">
        <f t="shared" si="0"/>
        <v>0.17744069609794078</v>
      </c>
      <c r="D28">
        <f>[1]!GAMINV(A28,$A$2,$B$2)</f>
        <v>0.8178903954103589</v>
      </c>
      <c r="E28">
        <f t="shared" si="1"/>
        <v>0.15175096650003442</v>
      </c>
      <c r="F28">
        <f t="shared" si="2"/>
        <v>-0.2152214518864639</v>
      </c>
      <c r="G28">
        <f t="shared" si="3"/>
        <v>0.049369102667160554</v>
      </c>
    </row>
    <row r="29" spans="1:7" ht="13.5">
      <c r="A29">
        <v>0.09</v>
      </c>
      <c r="B29">
        <f>[1]!LNORMINV(A29,$A$2,$B$2)</f>
        <v>1.3066460518658314</v>
      </c>
      <c r="C29">
        <f t="shared" si="0"/>
        <v>0.18575301970718472</v>
      </c>
      <c r="D29">
        <f>[1]!GAMINV(A29,$A$2,$B$2)</f>
        <v>0.8826827979646623</v>
      </c>
      <c r="E29">
        <f t="shared" si="1"/>
        <v>0.1564974028076718</v>
      </c>
      <c r="F29">
        <f t="shared" si="2"/>
        <v>-0.022263055958319455</v>
      </c>
      <c r="G29">
        <f t="shared" si="3"/>
        <v>0.05397104530800477</v>
      </c>
    </row>
    <row r="30" spans="1:7" ht="13.5">
      <c r="A30">
        <v>0.1</v>
      </c>
      <c r="B30">
        <f>[1]!LNORMINV(A30,$A$2,$B$2)</f>
        <v>1.3593604894101385</v>
      </c>
      <c r="C30">
        <f t="shared" si="0"/>
        <v>0.19303031454430544</v>
      </c>
      <c r="D30">
        <f>[1]!GAMINV(A30,$A$2,$B$2)</f>
        <v>0.9456880434299819</v>
      </c>
      <c r="E30">
        <f t="shared" si="1"/>
        <v>0.16058883817519265</v>
      </c>
      <c r="F30">
        <f t="shared" si="2"/>
        <v>0.15534761687740684</v>
      </c>
      <c r="G30">
        <f t="shared" si="3"/>
        <v>0.058363974906994194</v>
      </c>
    </row>
    <row r="31" spans="1:7" ht="13.5">
      <c r="A31">
        <v>0.11</v>
      </c>
      <c r="B31">
        <f>[1]!LNORMINV(A31,$A$2,$B$2)</f>
        <v>1.4102567207248384</v>
      </c>
      <c r="C31">
        <f t="shared" si="0"/>
        <v>0.1994024986682085</v>
      </c>
      <c r="D31">
        <f>[1]!GAMINV(A31,$A$2,$B$2)</f>
        <v>1.0072244549519382</v>
      </c>
      <c r="E31">
        <f t="shared" si="1"/>
        <v>0.16413377287619182</v>
      </c>
      <c r="F31">
        <f t="shared" si="2"/>
        <v>0.32041408403893</v>
      </c>
      <c r="G31">
        <f t="shared" si="3"/>
        <v>0.06256067184591856</v>
      </c>
    </row>
    <row r="32" spans="1:7" ht="13.5">
      <c r="A32">
        <v>0.12</v>
      </c>
      <c r="B32">
        <f>[1]!LNORMINV(A32,$A$2,$B$2)</f>
        <v>1.459660135270036</v>
      </c>
      <c r="C32">
        <f t="shared" si="0"/>
        <v>0.20498396693681814</v>
      </c>
      <c r="D32">
        <f>[1]!GAMINV(A32,$A$2,$B$2)</f>
        <v>1.0675398698367644</v>
      </c>
      <c r="E32">
        <f t="shared" si="1"/>
        <v>0.16720385162065887</v>
      </c>
      <c r="F32">
        <f t="shared" si="2"/>
        <v>0.47503727828734554</v>
      </c>
      <c r="G32">
        <f t="shared" si="3"/>
        <v>0.06657503252429935</v>
      </c>
    </row>
    <row r="33" spans="1:7" ht="13.5">
      <c r="A33">
        <v>0.13</v>
      </c>
      <c r="B33">
        <f>[1]!LNORMINV(A33,$A$2,$B$2)</f>
        <v>1.5078253271815794</v>
      </c>
      <c r="C33">
        <f t="shared" si="0"/>
        <v>0.20987810042097177</v>
      </c>
      <c r="D33">
        <f>[1]!GAMINV(A33,$A$2,$B$2)</f>
        <v>1.1268389243923593</v>
      </c>
      <c r="E33">
        <f t="shared" si="1"/>
        <v>0.16985793226239274</v>
      </c>
      <c r="F33">
        <f t="shared" si="2"/>
        <v>0.6208270052447915</v>
      </c>
      <c r="G33">
        <f t="shared" si="3"/>
        <v>0.0704222650991394</v>
      </c>
    </row>
    <row r="34" spans="1:7" ht="13.5">
      <c r="A34">
        <v>0.14</v>
      </c>
      <c r="B34">
        <f>[1]!LNORMINV(A34,$A$2,$B$2)</f>
        <v>1.5549535458730679</v>
      </c>
      <c r="C34">
        <f t="shared" si="0"/>
        <v>0.21414913790862192</v>
      </c>
      <c r="D34">
        <f>[1]!GAMINV(A34,$A$2,$B$2)</f>
        <v>1.1852853276650421</v>
      </c>
      <c r="E34">
        <f t="shared" si="1"/>
        <v>0.17215173739520492</v>
      </c>
      <c r="F34">
        <f t="shared" si="2"/>
        <v>0.7590383675997145</v>
      </c>
      <c r="G34">
        <f t="shared" si="3"/>
        <v>0.07410855847241596</v>
      </c>
    </row>
    <row r="35" spans="1:7" ht="13.5">
      <c r="A35">
        <v>0.15</v>
      </c>
      <c r="B35">
        <f>[1]!LNORMINV(A35,$A$2,$B$2)</f>
        <v>1.6012181850530598</v>
      </c>
      <c r="C35">
        <f t="shared" si="0"/>
        <v>0.21786301206283878</v>
      </c>
      <c r="D35">
        <f>[1]!GAMINV(A35,$A$2,$B$2)</f>
        <v>1.2430155038600788</v>
      </c>
      <c r="E35">
        <f t="shared" si="1"/>
        <v>0.1741248915632274</v>
      </c>
      <c r="F35">
        <f t="shared" si="2"/>
        <v>0.8907013681018725</v>
      </c>
      <c r="G35">
        <f t="shared" si="3"/>
        <v>0.07764295758818593</v>
      </c>
    </row>
    <row r="36" spans="1:7" ht="13.5">
      <c r="A36">
        <v>0.16</v>
      </c>
      <c r="B36">
        <f>[1]!LNORMINV(A36,$A$2,$B$2)</f>
        <v>1.646754351391314</v>
      </c>
      <c r="C36">
        <f t="shared" si="0"/>
        <v>0.22108062518725188</v>
      </c>
      <c r="D36">
        <f>[1]!GAMINV(A36,$A$2,$B$2)</f>
        <v>1.3001454135519452</v>
      </c>
      <c r="E36">
        <f t="shared" si="1"/>
        <v>0.17580582859728594</v>
      </c>
      <c r="F36">
        <f t="shared" si="2"/>
        <v>1.0166277307725977</v>
      </c>
      <c r="G36">
        <f t="shared" si="3"/>
        <v>0.08103562565371371</v>
      </c>
    </row>
    <row r="37" spans="1:7" ht="13.5">
      <c r="A37">
        <v>0.17</v>
      </c>
      <c r="B37">
        <f>[1]!LNORMINV(A37,$A$2,$B$2)</f>
        <v>1.691682919278686</v>
      </c>
      <c r="C37">
        <f t="shared" si="0"/>
        <v>0.22384008571449965</v>
      </c>
      <c r="D37">
        <f>[1]!GAMINV(A37,$A$2,$B$2)</f>
        <v>1.356777374894591</v>
      </c>
      <c r="E37">
        <f t="shared" si="1"/>
        <v>0.17721910428754473</v>
      </c>
      <c r="F37">
        <f t="shared" si="2"/>
        <v>1.1375063978484832</v>
      </c>
      <c r="G37">
        <f t="shared" si="3"/>
        <v>0.08429009651869096</v>
      </c>
    </row>
    <row r="38" spans="1:7" ht="13.5">
      <c r="A38">
        <v>0.18</v>
      </c>
      <c r="B38">
        <f>[1]!LNORMINV(A38,$A$2,$B$2)</f>
        <v>1.7361038525593457</v>
      </c>
      <c r="C38">
        <f aca="true" t="shared" si="4" ref="C38:C53">($A39-$A37)/(B39-B37)</f>
        <v>0.22617834766712944</v>
      </c>
      <c r="D38">
        <f>[1]!GAMINV(A38,$A$2,$B$2)</f>
        <v>1.413000063621439</v>
      </c>
      <c r="E38">
        <f aca="true" t="shared" si="5" ref="E38:E53">($A39-$A37)/(D39-D37)</f>
        <v>0.17839440692412833</v>
      </c>
      <c r="F38">
        <f aca="true" t="shared" si="6" ref="F38:F53">NORMINV(A38,$A$2,$B$2)</f>
        <v>1.2539035297813825</v>
      </c>
      <c r="G38">
        <f aca="true" t="shared" si="7" ref="G38:G53">($A39-$A37)/(F39-F37)</f>
        <v>0.08741111431305086</v>
      </c>
    </row>
    <row r="39" spans="1:7" ht="13.5">
      <c r="A39">
        <v>0.19</v>
      </c>
      <c r="B39">
        <f>[1]!LNORMINV(A39,$A$2,$B$2)</f>
        <v>1.7801087133756273</v>
      </c>
      <c r="C39">
        <f t="shared" si="4"/>
        <v>0.2281278193339019</v>
      </c>
      <c r="D39">
        <f>[1]!GAMINV(A39,$A$2,$B$2)</f>
        <v>1.4688885130453855</v>
      </c>
      <c r="E39">
        <f t="shared" si="5"/>
        <v>0.1793547095856291</v>
      </c>
      <c r="F39">
        <f t="shared" si="6"/>
        <v>1.3663102537102532</v>
      </c>
      <c r="G39">
        <f t="shared" si="7"/>
        <v>0.09040270734753705</v>
      </c>
    </row>
    <row r="40" spans="1:7" ht="13.5">
      <c r="A40">
        <v>0.2</v>
      </c>
      <c r="B40">
        <f>[1]!LNORMINV(A40,$A$2,$B$2)</f>
        <v>1.823774001944883</v>
      </c>
      <c r="C40">
        <f t="shared" si="4"/>
        <v>0.22972746564761193</v>
      </c>
      <c r="D40">
        <f>[1]!GAMINV(A40,$A$2,$B$2)</f>
        <v>1.5245109352690633</v>
      </c>
      <c r="E40">
        <f t="shared" si="5"/>
        <v>0.18011124807436976</v>
      </c>
      <c r="F40">
        <f t="shared" si="6"/>
        <v>1.475135842250893</v>
      </c>
      <c r="G40">
        <f t="shared" si="7"/>
        <v>0.09327281715930222</v>
      </c>
    </row>
    <row r="41" spans="1:7" ht="13.5">
      <c r="A41">
        <v>0.21</v>
      </c>
      <c r="B41">
        <f>[1]!LNORMINV(A41,$A$2,$B$2)</f>
        <v>1.8671683949144415</v>
      </c>
      <c r="C41">
        <f t="shared" si="4"/>
        <v>0.23099530381664385</v>
      </c>
      <c r="D41">
        <f>[1]!GAMINV(A41,$A$2,$B$2)</f>
        <v>1.5799309949215967</v>
      </c>
      <c r="E41">
        <f t="shared" si="5"/>
        <v>0.18068099792962627</v>
      </c>
      <c r="F41">
        <f t="shared" si="6"/>
        <v>1.5807349983369932</v>
      </c>
      <c r="G41">
        <f t="shared" si="7"/>
        <v>0.096021975025468</v>
      </c>
    </row>
    <row r="42" spans="1:7" ht="13.5">
      <c r="A42">
        <v>0.22</v>
      </c>
      <c r="B42">
        <f>[1]!LNORMINV(A42,$A$2,$B$2)</f>
        <v>1.9103558487164316</v>
      </c>
      <c r="C42">
        <f t="shared" si="4"/>
        <v>0.2319587029751024</v>
      </c>
      <c r="D42">
        <f>[1]!GAMINV(A42,$A$2,$B$2)</f>
        <v>1.635203261685092</v>
      </c>
      <c r="E42">
        <f t="shared" si="5"/>
        <v>0.18107526241241756</v>
      </c>
      <c r="F42">
        <f t="shared" si="6"/>
        <v>1.6834214976406656</v>
      </c>
      <c r="G42">
        <f t="shared" si="7"/>
        <v>0.09865514829753261</v>
      </c>
    </row>
    <row r="43" spans="1:7" ht="13.5">
      <c r="A43">
        <v>0.23</v>
      </c>
      <c r="B43">
        <f>[1]!LNORMINV(A43,$A$2,$B$2)</f>
        <v>1.953390639406586</v>
      </c>
      <c r="C43">
        <f t="shared" si="4"/>
        <v>0.23264382173263204</v>
      </c>
      <c r="D43">
        <f>[1]!GAMINV(A43,$A$2,$B$2)</f>
        <v>1.6903823052416556</v>
      </c>
      <c r="E43">
        <f t="shared" si="5"/>
        <v>0.1813104057016118</v>
      </c>
      <c r="F43">
        <f t="shared" si="6"/>
        <v>1.7834613673621789</v>
      </c>
      <c r="G43">
        <f t="shared" si="7"/>
        <v>0.10117778416793766</v>
      </c>
    </row>
    <row r="44" spans="1:7" ht="13.5">
      <c r="A44">
        <v>0.24</v>
      </c>
      <c r="B44">
        <f>[1]!LNORMINV(A44,$A$2,$B$2)</f>
        <v>1.9963241751093206</v>
      </c>
      <c r="C44">
        <f t="shared" si="4"/>
        <v>0.23306471512383878</v>
      </c>
      <c r="D44">
        <f>[1]!GAMINV(A44,$A$2,$B$2)</f>
        <v>1.7455113265896216</v>
      </c>
      <c r="E44">
        <f t="shared" si="5"/>
        <v>0.1813964039142933</v>
      </c>
      <c r="F44">
        <f t="shared" si="6"/>
        <v>1.8810933498607483</v>
      </c>
      <c r="G44">
        <f t="shared" si="7"/>
        <v>0.10359069415639716</v>
      </c>
    </row>
    <row r="45" spans="1:7" ht="13.5">
      <c r="A45">
        <v>0.25</v>
      </c>
      <c r="B45">
        <f>[1]!LNORMINV(A45,$A$2,$B$2)</f>
        <v>2.039203714926718</v>
      </c>
      <c r="C45">
        <f t="shared" si="4"/>
        <v>0.2332273068723857</v>
      </c>
      <c r="D45">
        <f>[1]!GAMINV(A45,$A$2,$B$2)</f>
        <v>1.8006380742008332</v>
      </c>
      <c r="E45">
        <f t="shared" si="5"/>
        <v>0.1813403088732942</v>
      </c>
      <c r="F45">
        <f t="shared" si="6"/>
        <v>1.976528902654536</v>
      </c>
      <c r="G45">
        <f t="shared" si="7"/>
        <v>0.10589154564638192</v>
      </c>
    </row>
    <row r="46" spans="1:7" ht="13.5">
      <c r="A46">
        <v>0.26</v>
      </c>
      <c r="B46">
        <f>[1]!LNORMINV(A46,$A$2,$B$2)</f>
        <v>2.0820774270256726</v>
      </c>
      <c r="C46">
        <f t="shared" si="4"/>
        <v>0.23316231106851557</v>
      </c>
      <c r="D46">
        <f>[1]!GAMINV(A46,$A$2,$B$2)</f>
        <v>1.8558012016001157</v>
      </c>
      <c r="E46">
        <f t="shared" si="5"/>
        <v>0.1811498449699942</v>
      </c>
      <c r="F46">
        <f t="shared" si="6"/>
        <v>2.069965840841178</v>
      </c>
      <c r="G46">
        <f t="shared" si="7"/>
        <v>0.10808932416879265</v>
      </c>
    </row>
    <row r="47" spans="1:7" ht="13.5">
      <c r="A47">
        <v>0.27</v>
      </c>
      <c r="B47">
        <f>[1]!LNORMINV(A47,$A$2,$B$2)</f>
        <v>2.1249808712276046</v>
      </c>
      <c r="C47">
        <f t="shared" si="4"/>
        <v>0.2328811443479492</v>
      </c>
      <c r="D47">
        <f>[1]!GAMINV(A47,$A$2,$B$2)</f>
        <v>1.9110439097858034</v>
      </c>
      <c r="E47">
        <f t="shared" si="5"/>
        <v>0.18083701038646424</v>
      </c>
      <c r="F47">
        <f t="shared" si="6"/>
        <v>2.1615610522567295</v>
      </c>
      <c r="G47">
        <f t="shared" si="7"/>
        <v>0.1101853065540274</v>
      </c>
    </row>
    <row r="48" spans="1:7" ht="13.5">
      <c r="A48">
        <v>0.28</v>
      </c>
      <c r="B48">
        <f>[1]!LNORMINV(A48,$A$2,$B$2)</f>
        <v>2.167958145518355</v>
      </c>
      <c r="C48">
        <f t="shared" si="4"/>
        <v>0.2323926398697868</v>
      </c>
      <c r="D48">
        <f>[1]!GAMINV(A48,$A$2,$B$2)</f>
        <v>1.9663980310724583</v>
      </c>
      <c r="E48">
        <f t="shared" si="5"/>
        <v>0.18041047301271604</v>
      </c>
      <c r="F48">
        <f t="shared" si="6"/>
        <v>2.25147824594751</v>
      </c>
      <c r="G48">
        <f t="shared" si="7"/>
        <v>0.11217932461271994</v>
      </c>
    </row>
    <row r="49" spans="1:7" ht="13.5">
      <c r="A49">
        <v>0.29</v>
      </c>
      <c r="B49">
        <f>[1]!LNORMINV(A49,$A$2,$B$2)</f>
        <v>2.2110421165889305</v>
      </c>
      <c r="C49">
        <f t="shared" si="4"/>
        <v>0.23171798366026353</v>
      </c>
      <c r="D49">
        <f>[1]!GAMINV(A49,$A$2,$B$2)</f>
        <v>2.0219022189849056</v>
      </c>
      <c r="E49">
        <f t="shared" si="5"/>
        <v>0.17986081223204137</v>
      </c>
      <c r="F49">
        <f t="shared" si="6"/>
        <v>2.339847024908522</v>
      </c>
      <c r="G49">
        <f t="shared" si="7"/>
        <v>0.11407793196648748</v>
      </c>
    </row>
    <row r="50" spans="1:7" ht="13.5">
      <c r="A50">
        <v>0.3</v>
      </c>
      <c r="B50">
        <f>[1]!LNORMINV(A50,$A$2,$B$2)</f>
        <v>2.254269961649654</v>
      </c>
      <c r="C50">
        <f t="shared" si="4"/>
        <v>0.23084660012199054</v>
      </c>
      <c r="D50">
        <f>[1]!GAMINV(A50,$A$2,$B$2)</f>
        <v>2.077595127047971</v>
      </c>
      <c r="E50">
        <f t="shared" si="5"/>
        <v>0.17921219636950425</v>
      </c>
      <c r="F50">
        <f t="shared" si="6"/>
        <v>2.4267969921347685</v>
      </c>
      <c r="G50">
        <f t="shared" si="7"/>
        <v>0.11587223393149973</v>
      </c>
    </row>
    <row r="51" spans="1:7" ht="13.5">
      <c r="A51">
        <v>0.31</v>
      </c>
      <c r="B51">
        <f>[1]!LNORMINV(A51,$A$2,$B$2)</f>
        <v>2.2976797365037616</v>
      </c>
      <c r="C51">
        <f t="shared" si="4"/>
        <v>0.22980719449871756</v>
      </c>
      <c r="D51">
        <f>[1]!GAMINV(A51,$A$2,$B$2)</f>
        <v>2.133501766365953</v>
      </c>
      <c r="E51">
        <f t="shared" si="5"/>
        <v>0.1784667969689372</v>
      </c>
      <c r="F51">
        <f t="shared" si="6"/>
        <v>2.5124509294109885</v>
      </c>
      <c r="G51">
        <f t="shared" si="7"/>
        <v>0.11757282089191873</v>
      </c>
    </row>
    <row r="52" spans="1:7" ht="13.5">
      <c r="A52">
        <v>0.32</v>
      </c>
      <c r="B52">
        <f>[1]!LNORMINV(A52,$A$2,$B$2)</f>
        <v>2.3412994388756667</v>
      </c>
      <c r="C52">
        <f t="shared" si="4"/>
        <v>0.22861291591860136</v>
      </c>
      <c r="D52">
        <f>[1]!GAMINV(A52,$A$2,$B$2)</f>
        <v>2.1896607904636767</v>
      </c>
      <c r="E52">
        <f t="shared" si="5"/>
        <v>0.17761990675271613</v>
      </c>
      <c r="F52">
        <f t="shared" si="6"/>
        <v>2.596904333680868</v>
      </c>
      <c r="G52">
        <f t="shared" si="7"/>
        <v>0.11918340747947925</v>
      </c>
    </row>
    <row r="53" spans="1:7" ht="13.5">
      <c r="A53">
        <v>0.33</v>
      </c>
      <c r="B53">
        <f>[1]!LNORMINV(A53,$A$2,$B$2)</f>
        <v>2.3851638575108227</v>
      </c>
      <c r="C53">
        <f t="shared" si="4"/>
        <v>0.2272516923190626</v>
      </c>
      <c r="D53">
        <f>[1]!GAMINV(A53,$A$2,$B$2)</f>
        <v>2.24610175791895</v>
      </c>
      <c r="E53">
        <f t="shared" si="5"/>
        <v>0.17668159128669295</v>
      </c>
      <c r="F53">
        <f t="shared" si="6"/>
        <v>2.680259523098357</v>
      </c>
      <c r="G53">
        <f t="shared" si="7"/>
        <v>0.1206944801960511</v>
      </c>
    </row>
    <row r="54" spans="1:7" ht="13.5">
      <c r="A54">
        <v>0.34</v>
      </c>
      <c r="B54">
        <f>[1]!LNORMINV(A54,$A$2,$B$2)</f>
        <v>2.4293075843636216</v>
      </c>
      <c r="C54">
        <f aca="true" t="shared" si="8" ref="C54:C69">($A55-$A53)/(B55-B53)</f>
        <v>0.2257505268035587</v>
      </c>
      <c r="D54">
        <f>[1]!GAMINV(A54,$A$2,$B$2)</f>
        <v>2.3028587747830898</v>
      </c>
      <c r="E54">
        <f aca="true" t="shared" si="9" ref="E54:E69">($A55-$A53)/(D55-D53)</f>
        <v>0.17565486504928476</v>
      </c>
      <c r="F54">
        <f aca="true" t="shared" si="10" ref="F54:F69">NORMINV(A54,$A$2,$B$2)</f>
        <v>2.7626119946071412</v>
      </c>
      <c r="G54">
        <f aca="true" t="shared" si="11" ref="G54:G69">($A55-$A53)/(F55-F53)</f>
        <v>0.12211707652655815</v>
      </c>
    </row>
    <row r="55" spans="1:7" ht="13.5">
      <c r="A55">
        <v>0.35</v>
      </c>
      <c r="B55">
        <f>[1]!LNORMINV(A55,$A$2,$B$2)</f>
        <v>2.47375722773761</v>
      </c>
      <c r="C55">
        <f t="shared" si="8"/>
        <v>0.2241097191335459</v>
      </c>
      <c r="D55">
        <f>[1]!GAMINV(A55,$A$2,$B$2)</f>
        <v>2.359961399633903</v>
      </c>
      <c r="E55">
        <f t="shared" si="9"/>
        <v>0.17454989824396214</v>
      </c>
      <c r="F55">
        <f t="shared" si="10"/>
        <v>2.844036781520117</v>
      </c>
      <c r="G55">
        <f t="shared" si="11"/>
        <v>0.12344873931214101</v>
      </c>
    </row>
    <row r="56" spans="1:7" ht="13.5">
      <c r="A56">
        <v>0.36</v>
      </c>
      <c r="B56">
        <f>[1]!LNORMINV(A56,$A$2,$B$2)</f>
        <v>2.518549586349631</v>
      </c>
      <c r="C56">
        <f t="shared" si="8"/>
        <v>0.2223316778648971</v>
      </c>
      <c r="D56">
        <f>[1]!GAMINV(A56,$A$2,$B$2)</f>
        <v>2.4174391910491977</v>
      </c>
      <c r="E56">
        <f t="shared" si="9"/>
        <v>0.17336302223595743</v>
      </c>
      <c r="F56">
        <f t="shared" si="10"/>
        <v>2.9246225595707074</v>
      </c>
      <c r="G56">
        <f t="shared" si="11"/>
        <v>0.12468768902414074</v>
      </c>
    </row>
    <row r="57" spans="1:7" ht="13.5">
      <c r="A57">
        <v>0.37</v>
      </c>
      <c r="B57">
        <f>[1]!LNORMINV(A57,$A$2,$B$2)</f>
        <v>2.5637129200261075</v>
      </c>
      <c r="C57">
        <f t="shared" si="8"/>
        <v>0.22042878830569793</v>
      </c>
      <c r="D57">
        <f>[1]!GAMINV(A57,$A$2,$B$2)</f>
        <v>2.47532625508029</v>
      </c>
      <c r="E57">
        <f t="shared" si="9"/>
        <v>0.17209784629938776</v>
      </c>
      <c r="F57">
        <f t="shared" si="10"/>
        <v>3.004437540861545</v>
      </c>
      <c r="G57">
        <f t="shared" si="11"/>
        <v>0.12583824066105875</v>
      </c>
    </row>
    <row r="58" spans="1:7" ht="13.5">
      <c r="A58">
        <v>0.38</v>
      </c>
      <c r="B58">
        <f>[1]!LNORMINV(A58,$A$2,$B$2)</f>
        <v>2.609281836677403</v>
      </c>
      <c r="C58">
        <f t="shared" si="8"/>
        <v>0.21840575189277203</v>
      </c>
      <c r="D58">
        <f>[1]!GAMINV(A58,$A$2,$B$2)</f>
        <v>2.533652150304988</v>
      </c>
      <c r="E58">
        <f t="shared" si="9"/>
        <v>0.17075813445814583</v>
      </c>
      <c r="F58">
        <f t="shared" si="10"/>
        <v>3.0835567587055266</v>
      </c>
      <c r="G58">
        <f t="shared" si="11"/>
        <v>0.12690028164478118</v>
      </c>
    </row>
    <row r="59" spans="1:7" ht="13.5">
      <c r="A59">
        <v>0.39</v>
      </c>
      <c r="B59">
        <f>[1]!LNORMINV(A59,$A$2,$B$2)</f>
        <v>2.6552855998968243</v>
      </c>
      <c r="C59">
        <f t="shared" si="8"/>
        <v>0.2162677296119414</v>
      </c>
      <c r="D59">
        <f>[1]!GAMINV(A59,$A$2,$B$2)</f>
        <v>2.592450982774608</v>
      </c>
      <c r="E59">
        <f t="shared" si="9"/>
        <v>0.16934451931400424</v>
      </c>
      <c r="F59">
        <f t="shared" si="10"/>
        <v>3.1620416039950214</v>
      </c>
      <c r="G59">
        <f t="shared" si="11"/>
        <v>0.12787435158108376</v>
      </c>
    </row>
    <row r="60" spans="1:7" ht="13.5">
      <c r="A60">
        <v>0.4</v>
      </c>
      <c r="B60">
        <f>[1]!LNORMINV(A60,$A$2,$B$2)</f>
        <v>2.701759803852103</v>
      </c>
      <c r="C60">
        <f t="shared" si="8"/>
        <v>0.21402603259901615</v>
      </c>
      <c r="D60">
        <f>[1]!GAMINV(A60,$A$2,$B$2)</f>
        <v>2.6517545848037116</v>
      </c>
      <c r="E60">
        <f t="shared" si="9"/>
        <v>0.16787077793442465</v>
      </c>
      <c r="F60">
        <f t="shared" si="10"/>
        <v>3.2399602888326626</v>
      </c>
      <c r="G60">
        <f t="shared" si="11"/>
        <v>0.12876445433357464</v>
      </c>
    </row>
    <row r="61" spans="1:7" ht="13.5">
      <c r="A61">
        <v>0.41</v>
      </c>
      <c r="B61">
        <f>[1]!LNORMINV(A61,$A$2,$B$2)</f>
        <v>2.7487321762648054</v>
      </c>
      <c r="C61">
        <f t="shared" si="8"/>
        <v>0.21168264342444948</v>
      </c>
      <c r="D61">
        <f>[1]!GAMINV(A61,$A$2,$B$2)</f>
        <v>2.7115902412333526</v>
      </c>
      <c r="E61">
        <f t="shared" si="9"/>
        <v>0.16632805805551742</v>
      </c>
      <c r="F61">
        <f t="shared" si="10"/>
        <v>3.317363972295425</v>
      </c>
      <c r="G61">
        <f t="shared" si="11"/>
        <v>0.1295696233772001</v>
      </c>
    </row>
    <row r="62" spans="1:7" ht="13.5">
      <c r="A62">
        <v>0.42</v>
      </c>
      <c r="B62">
        <f>[1]!LNORMINV(A62,$A$2,$B$2)</f>
        <v>2.7962408613278336</v>
      </c>
      <c r="C62">
        <f t="shared" si="8"/>
        <v>0.20922675732054977</v>
      </c>
      <c r="D62">
        <f>[1]!GAMINV(A62,$A$2,$B$2)</f>
        <v>2.7719988793251105</v>
      </c>
      <c r="E62">
        <f t="shared" si="9"/>
        <v>0.16471775851029022</v>
      </c>
      <c r="F62">
        <f t="shared" si="10"/>
        <v>3.3943174558808096</v>
      </c>
      <c r="G62">
        <f t="shared" si="11"/>
        <v>0.13028064283853588</v>
      </c>
    </row>
    <row r="63" spans="1:7" ht="13.5">
      <c r="A63">
        <v>0.43</v>
      </c>
      <c r="B63">
        <f>[1]!LNORMINV(A63,$A$2,$B$2)</f>
        <v>2.844322244457463</v>
      </c>
      <c r="C63">
        <f t="shared" si="8"/>
        <v>0.20668543806540945</v>
      </c>
      <c r="D63">
        <f>[1]!GAMINV(A63,$A$2,$B$2)</f>
        <v>2.833010057656793</v>
      </c>
      <c r="E63">
        <f t="shared" si="9"/>
        <v>0.1630506427087328</v>
      </c>
      <c r="F63">
        <f t="shared" si="10"/>
        <v>3.4708787198760547</v>
      </c>
      <c r="G63">
        <f t="shared" si="11"/>
        <v>0.13091177422881053</v>
      </c>
    </row>
    <row r="64" spans="1:7" ht="13.5">
      <c r="A64">
        <v>0.44</v>
      </c>
      <c r="B64">
        <f>[1]!LNORMINV(A64,$A$2,$B$2)</f>
        <v>2.893006265737556</v>
      </c>
      <c r="C64">
        <f t="shared" si="8"/>
        <v>0.2040579425784438</v>
      </c>
      <c r="D64">
        <f>[1]!GAMINV(A64,$A$2,$B$2)</f>
        <v>2.894660156016471</v>
      </c>
      <c r="E64">
        <f t="shared" si="9"/>
        <v>0.16132220123260904</v>
      </c>
      <c r="F64">
        <f t="shared" si="10"/>
        <v>3.5470921021478716</v>
      </c>
      <c r="G64">
        <f t="shared" si="11"/>
        <v>0.13146057826810453</v>
      </c>
    </row>
    <row r="65" spans="1:7" ht="13.5">
      <c r="A65">
        <v>0.45</v>
      </c>
      <c r="B65">
        <f>[1]!LNORMINV(A65,$A$2,$B$2)</f>
        <v>2.9423336217519864</v>
      </c>
      <c r="C65">
        <f t="shared" si="8"/>
        <v>0.2013354937778761</v>
      </c>
      <c r="D65">
        <f>[1]!GAMINV(A65,$A$2,$B$2)</f>
        <v>2.956985554192215</v>
      </c>
      <c r="E65">
        <f t="shared" si="9"/>
        <v>0.15953447878351726</v>
      </c>
      <c r="F65">
        <f t="shared" si="10"/>
        <v>3.6230155829834985</v>
      </c>
      <c r="G65">
        <f t="shared" si="11"/>
        <v>0.1319189691083717</v>
      </c>
    </row>
    <row r="66" spans="1:7" ht="13.5">
      <c r="A66">
        <v>0.46</v>
      </c>
      <c r="B66">
        <f>[1]!LNORMINV(A66,$A$2,$B$2)</f>
        <v>2.9923429481312978</v>
      </c>
      <c r="C66">
        <f t="shared" si="8"/>
        <v>0.19853698749231946</v>
      </c>
      <c r="D66">
        <f>[1]!GAMINV(A66,$A$2,$B$2)</f>
        <v>3.0200249057088513</v>
      </c>
      <c r="E66">
        <f t="shared" si="9"/>
        <v>0.1576925963106487</v>
      </c>
      <c r="F66">
        <f t="shared" si="10"/>
        <v>3.69870032145991</v>
      </c>
      <c r="G66">
        <f t="shared" si="11"/>
        <v>0.13229694336842238</v>
      </c>
    </row>
    <row r="67" spans="1:7" ht="13.5">
      <c r="A67">
        <v>0.47</v>
      </c>
      <c r="B67">
        <f>[1]!LNORMINV(A67,$A$2,$B$2)</f>
        <v>3.043070518451266</v>
      </c>
      <c r="C67">
        <f t="shared" si="8"/>
        <v>0.19566334668033347</v>
      </c>
      <c r="D67">
        <f>[1]!GAMINV(A67,$A$2,$B$2)</f>
        <v>3.08381459035445</v>
      </c>
      <c r="E67">
        <f t="shared" si="9"/>
        <v>0.1557961179299666</v>
      </c>
      <c r="F67">
        <f t="shared" si="10"/>
        <v>3.7741906554438174</v>
      </c>
      <c r="G67">
        <f t="shared" si="11"/>
        <v>0.1325930903722996</v>
      </c>
    </row>
    <row r="68" spans="1:7" ht="13.5">
      <c r="A68">
        <v>0.48</v>
      </c>
      <c r="B68">
        <f>[1]!LNORMINV(A68,$A$2,$B$2)</f>
        <v>3.094559333260778</v>
      </c>
      <c r="C68">
        <f t="shared" si="8"/>
        <v>0.19270739093559283</v>
      </c>
      <c r="D68">
        <f>[1]!GAMINV(A68,$A$2,$B$2)</f>
        <v>3.1483978091273457</v>
      </c>
      <c r="E68">
        <f t="shared" si="9"/>
        <v>0.15384778084807793</v>
      </c>
      <c r="F68">
        <f t="shared" si="10"/>
        <v>3.8495377440121956</v>
      </c>
      <c r="G68">
        <f t="shared" si="11"/>
        <v>0.13280028115146722</v>
      </c>
    </row>
    <row r="69" spans="1:7" ht="13.5">
      <c r="A69">
        <v>0.49</v>
      </c>
      <c r="B69">
        <f>[1]!LNORMINV(A69,$A$2,$B$2)</f>
        <v>3.1468548097693114</v>
      </c>
      <c r="C69">
        <f t="shared" si="8"/>
        <v>0.18968011555022726</v>
      </c>
      <c r="D69">
        <f>[1]!GAMINV(A69,$A$2,$B$2)</f>
        <v>3.2138132155523635</v>
      </c>
      <c r="E69">
        <f t="shared" si="9"/>
        <v>0.15185051655919635</v>
      </c>
      <c r="F69">
        <f t="shared" si="10"/>
        <v>3.9247927462420193</v>
      </c>
      <c r="G69">
        <f t="shared" si="11"/>
        <v>0.13292370148710986</v>
      </c>
    </row>
    <row r="70" spans="1:7" ht="13.5">
      <c r="A70">
        <v>0.5</v>
      </c>
      <c r="B70">
        <f>[1]!LNORMINV(A70,$A$2,$B$2)</f>
        <v>3.200000011330715</v>
      </c>
      <c r="C70">
        <f aca="true" t="shared" si="12" ref="C70:C85">($A71-$A69)/(B71-B69)</f>
        <v>0.1865881585494209</v>
      </c>
      <c r="D70">
        <f>[1]!GAMINV(A70,$A$2,$B$2)</f>
        <v>3.2801062843645923</v>
      </c>
      <c r="E70">
        <f aca="true" t="shared" si="13" ref="E70:E85">($A71-$A69)/(D71-D69)</f>
        <v>0.14979722449264318</v>
      </c>
      <c r="F70">
        <f aca="true" t="shared" si="14" ref="F70:F85">NORMINV(A70,$A$2,$B$2)</f>
        <v>4</v>
      </c>
      <c r="G70">
        <f aca="true" t="shared" si="15" ref="G70:G85">($A71-$A69)/(F71-F69)</f>
        <v>0.13296589757392724</v>
      </c>
    </row>
    <row r="71" spans="1:7" ht="13.5">
      <c r="A71">
        <v>0.51</v>
      </c>
      <c r="B71">
        <f>[1]!LNORMINV(A71,$A$2,$B$2)</f>
        <v>3.2540427479293994</v>
      </c>
      <c r="C71">
        <f t="shared" si="12"/>
        <v>0.1834301155723582</v>
      </c>
      <c r="D71">
        <f>[1]!GAMINV(A71,$A$2,$B$2)</f>
        <v>3.3473270377726294</v>
      </c>
      <c r="E71">
        <f t="shared" si="13"/>
        <v>0.1476994496122512</v>
      </c>
      <c r="F71">
        <f t="shared" si="14"/>
        <v>4.075207253757981</v>
      </c>
      <c r="G71">
        <f t="shared" si="15"/>
        <v>0.13292370148710986</v>
      </c>
    </row>
    <row r="72" spans="1:7" ht="13.5">
      <c r="A72">
        <v>0.52</v>
      </c>
      <c r="B72">
        <f>[1]!LNORMINV(A72,$A$2,$B$2)</f>
        <v>3.3090333613757386</v>
      </c>
      <c r="C72">
        <f t="shared" si="12"/>
        <v>0.18021342233961596</v>
      </c>
      <c r="D72">
        <f>[1]!GAMINV(A72,$A$2,$B$2)</f>
        <v>3.4155164030380547</v>
      </c>
      <c r="E72">
        <f t="shared" si="13"/>
        <v>0.14555838196604348</v>
      </c>
      <c r="F72">
        <f t="shared" si="14"/>
        <v>4.150462255987804</v>
      </c>
      <c r="G72">
        <f t="shared" si="15"/>
        <v>0.13280028115146722</v>
      </c>
    </row>
    <row r="73" spans="1:7" ht="13.5">
      <c r="A73">
        <v>0.53</v>
      </c>
      <c r="B73">
        <f>[1]!LNORMINV(A73,$A$2,$B$2)</f>
        <v>3.3650222728746035</v>
      </c>
      <c r="C73">
        <f t="shared" si="12"/>
        <v>0.17693742301928483</v>
      </c>
      <c r="D73">
        <f>[1]!GAMINV(A73,$A$2,$B$2)</f>
        <v>3.4847289498429745</v>
      </c>
      <c r="E73">
        <f t="shared" si="13"/>
        <v>0.14336625195110356</v>
      </c>
      <c r="F73">
        <f t="shared" si="14"/>
        <v>4.225809344556183</v>
      </c>
      <c r="G73">
        <f t="shared" si="15"/>
        <v>0.13259309037229997</v>
      </c>
    </row>
    <row r="74" spans="1:7" ht="13.5">
      <c r="A74">
        <v>0.54</v>
      </c>
      <c r="B74">
        <f>[1]!LNORMINV(A74,$A$2,$B$2)</f>
        <v>3.422067674065034</v>
      </c>
      <c r="C74">
        <f t="shared" si="12"/>
        <v>0.1735982724895841</v>
      </c>
      <c r="D74">
        <f>[1]!GAMINV(A74,$A$2,$B$2)</f>
        <v>3.5550192478694953</v>
      </c>
      <c r="E74">
        <f t="shared" si="13"/>
        <v>0.14113039537605507</v>
      </c>
      <c r="F74">
        <f t="shared" si="14"/>
        <v>4.30129967854009</v>
      </c>
      <c r="G74">
        <f t="shared" si="15"/>
        <v>0.13229694336842276</v>
      </c>
    </row>
    <row r="75" spans="1:7" ht="13.5">
      <c r="A75">
        <v>0.55</v>
      </c>
      <c r="B75">
        <f>[1]!LNORMINV(A75,$A$2,$B$2)</f>
        <v>3.4802307925976326</v>
      </c>
      <c r="C75">
        <f t="shared" si="12"/>
        <v>0.1702084530440789</v>
      </c>
      <c r="D75">
        <f>[1]!GAMINV(A75,$A$2,$B$2)</f>
        <v>3.6264418667997234</v>
      </c>
      <c r="E75">
        <f t="shared" si="13"/>
        <v>0.1388535237451539</v>
      </c>
      <c r="F75">
        <f t="shared" si="14"/>
        <v>4.3769844170165015</v>
      </c>
      <c r="G75">
        <f t="shared" si="15"/>
        <v>0.1319189691083717</v>
      </c>
    </row>
    <row r="76" spans="1:7" ht="13.5">
      <c r="A76">
        <v>0.56</v>
      </c>
      <c r="B76">
        <f>[1]!LNORMINV(A76,$A$2,$B$2)</f>
        <v>3.5395706513984844</v>
      </c>
      <c r="C76">
        <f t="shared" si="12"/>
        <v>0.16677242971029443</v>
      </c>
      <c r="D76">
        <f>[1]!GAMINV(A76,$A$2,$B$2)</f>
        <v>3.699055923789274</v>
      </c>
      <c r="E76">
        <f t="shared" si="13"/>
        <v>0.13653441298596733</v>
      </c>
      <c r="F76">
        <f t="shared" si="14"/>
        <v>4.452907897852128</v>
      </c>
      <c r="G76">
        <f t="shared" si="15"/>
        <v>0.13146057826810378</v>
      </c>
    </row>
    <row r="77" spans="1:7" ht="13.5">
      <c r="A77">
        <v>0.57</v>
      </c>
      <c r="B77">
        <f>[1]!LNORMINV(A77,$A$2,$B$2)</f>
        <v>3.6001546914983233</v>
      </c>
      <c r="C77">
        <f t="shared" si="12"/>
        <v>0.16328033094397917</v>
      </c>
      <c r="D77">
        <f>[1]!GAMINV(A77,$A$2,$B$2)</f>
        <v>3.772925083467271</v>
      </c>
      <c r="E77">
        <f t="shared" si="13"/>
        <v>0.13416859399341</v>
      </c>
      <c r="F77">
        <f t="shared" si="14"/>
        <v>4.529121280123945</v>
      </c>
      <c r="G77">
        <f t="shared" si="15"/>
        <v>0.13091177422880979</v>
      </c>
    </row>
    <row r="78" spans="1:7" ht="13.5">
      <c r="A78">
        <v>0.58</v>
      </c>
      <c r="B78">
        <f>[1]!LNORMINV(A78,$A$2,$B$2)</f>
        <v>3.6620593791244334</v>
      </c>
      <c r="C78">
        <f t="shared" si="12"/>
        <v>0.15974544686667086</v>
      </c>
      <c r="D78">
        <f>[1]!GAMINV(A78,$A$2,$B$2)</f>
        <v>3.848122105409857</v>
      </c>
      <c r="E78">
        <f t="shared" si="13"/>
        <v>0.13176483046030332</v>
      </c>
      <c r="F78">
        <f t="shared" si="14"/>
        <v>4.60568254411919</v>
      </c>
      <c r="G78">
        <f t="shared" si="15"/>
        <v>0.13028064283853588</v>
      </c>
    </row>
    <row r="79" spans="1:7" ht="13.5">
      <c r="A79">
        <v>0.59</v>
      </c>
      <c r="B79">
        <f>[1]!LNORMINV(A79,$A$2,$B$2)</f>
        <v>3.725353878030962</v>
      </c>
      <c r="C79">
        <f t="shared" si="12"/>
        <v>0.1561732342292269</v>
      </c>
      <c r="D79">
        <f>[1]!GAMINV(A79,$A$2,$B$2)</f>
        <v>3.924710654246155</v>
      </c>
      <c r="E79">
        <f t="shared" si="13"/>
        <v>0.12932007736493292</v>
      </c>
      <c r="F79">
        <f t="shared" si="14"/>
        <v>4.682636027704575</v>
      </c>
      <c r="G79">
        <f t="shared" si="15"/>
        <v>0.12956962337720046</v>
      </c>
    </row>
    <row r="80" spans="1:7" ht="13.5">
      <c r="A80">
        <v>0.6</v>
      </c>
      <c r="B80">
        <f>[1]!LNORMINV(A80,$A$2,$B$2)</f>
        <v>3.7901222965552432</v>
      </c>
      <c r="C80">
        <f t="shared" si="12"/>
        <v>0.15254933114262803</v>
      </c>
      <c r="D80">
        <f>[1]!GAMINV(A80,$A$2,$B$2)</f>
        <v>4.0027771319728345</v>
      </c>
      <c r="E80">
        <f t="shared" si="13"/>
        <v>0.12683623680184583</v>
      </c>
      <c r="F80">
        <f t="shared" si="14"/>
        <v>4.760039711167337</v>
      </c>
      <c r="G80">
        <f t="shared" si="15"/>
        <v>0.128764454333575</v>
      </c>
    </row>
    <row r="81" spans="1:7" ht="13.5">
      <c r="A81">
        <v>0.61</v>
      </c>
      <c r="B81">
        <f>[1]!LNORMINV(A81,$A$2,$B$2)</f>
        <v>3.856459008746355</v>
      </c>
      <c r="C81">
        <f t="shared" si="12"/>
        <v>0.14888792882719906</v>
      </c>
      <c r="D81">
        <f>[1]!GAMINV(A81,$A$2,$B$2)</f>
        <v>4.082394298166037</v>
      </c>
      <c r="E81">
        <f t="shared" si="13"/>
        <v>0.12431937448353461</v>
      </c>
      <c r="F81">
        <f t="shared" si="14"/>
        <v>4.837958396004979</v>
      </c>
      <c r="G81">
        <f t="shared" si="15"/>
        <v>0.12787435158108376</v>
      </c>
    </row>
    <row r="82" spans="1:7" ht="13.5">
      <c r="A82">
        <v>0.62</v>
      </c>
      <c r="B82">
        <f>[1]!LNORMINV(A82,$A$2,$B$2)</f>
        <v>3.924451520942616</v>
      </c>
      <c r="C82">
        <f t="shared" si="12"/>
        <v>0.14519268755757817</v>
      </c>
      <c r="D82">
        <f>[1]!GAMINV(A82,$A$2,$B$2)</f>
        <v>4.163653102295939</v>
      </c>
      <c r="E82">
        <f t="shared" si="13"/>
        <v>0.12175871407502571</v>
      </c>
      <c r="F82">
        <f t="shared" si="14"/>
        <v>4.916443241294473</v>
      </c>
      <c r="G82">
        <f t="shared" si="15"/>
        <v>0.12690028164478118</v>
      </c>
    </row>
    <row r="83" spans="1:7" ht="13.5">
      <c r="A83">
        <v>0.63</v>
      </c>
      <c r="B83">
        <f>[1]!LNORMINV(A83,$A$2,$B$2)</f>
        <v>3.9942069927284596</v>
      </c>
      <c r="C83">
        <f t="shared" si="12"/>
        <v>0.14146201848698658</v>
      </c>
      <c r="D83">
        <f>[1]!GAMINV(A83,$A$2,$B$2)</f>
        <v>4.246653588779736</v>
      </c>
      <c r="E83">
        <f t="shared" si="13"/>
        <v>0.1191624176629458</v>
      </c>
      <c r="F83">
        <f t="shared" si="14"/>
        <v>4.995562459138455</v>
      </c>
      <c r="G83">
        <f t="shared" si="15"/>
        <v>0.12583824066105875</v>
      </c>
    </row>
    <row r="84" spans="1:7" ht="13.5">
      <c r="A84">
        <v>0.64</v>
      </c>
      <c r="B84">
        <f>[1]!LNORMINV(A84,$A$2,$B$2)</f>
        <v>4.065832226618323</v>
      </c>
      <c r="C84">
        <f t="shared" si="12"/>
        <v>0.13769807024888692</v>
      </c>
      <c r="D84">
        <f>[1]!GAMINV(A84,$A$2,$B$2)</f>
        <v>4.331491254561115</v>
      </c>
      <c r="E84">
        <f t="shared" si="13"/>
        <v>0.11653232588177324</v>
      </c>
      <c r="F84">
        <f t="shared" si="14"/>
        <v>5.075377440429293</v>
      </c>
      <c r="G84">
        <f t="shared" si="15"/>
        <v>0.12468768902414074</v>
      </c>
    </row>
    <row r="85" spans="1:7" ht="13.5">
      <c r="A85">
        <v>0.65</v>
      </c>
      <c r="B85">
        <f>[1]!LNORMINV(A85,$A$2,$B$2)</f>
        <v>4.139452310719121</v>
      </c>
      <c r="C85">
        <f t="shared" si="12"/>
        <v>0.13390405950752793</v>
      </c>
      <c r="D85">
        <f>[1]!GAMINV(A85,$A$2,$B$2)</f>
        <v>4.418279786477797</v>
      </c>
      <c r="E85">
        <f t="shared" si="13"/>
        <v>0.11386528184088036</v>
      </c>
      <c r="F85">
        <f t="shared" si="14"/>
        <v>5.155963218479883</v>
      </c>
      <c r="G85">
        <f t="shared" si="15"/>
        <v>0.12344873931214136</v>
      </c>
    </row>
    <row r="86" spans="1:7" ht="13.5">
      <c r="A86">
        <v>0.66</v>
      </c>
      <c r="B86">
        <f>[1]!LNORMINV(A86,$A$2,$B$2)</f>
        <v>4.21519289629149</v>
      </c>
      <c r="C86">
        <f aca="true" t="shared" si="16" ref="C86:C101">($A87-$A85)/(B87-B85)</f>
        <v>0.13007807722571288</v>
      </c>
      <c r="D86">
        <f>[1]!GAMINV(A86,$A$2,$B$2)</f>
        <v>4.507137418841012</v>
      </c>
      <c r="E86">
        <f aca="true" t="shared" si="17" ref="E86:E101">($A87-$A85)/(D87-D85)</f>
        <v>0.11116002808300275</v>
      </c>
      <c r="F86">
        <f aca="true" t="shared" si="18" ref="F86:F101">NORMINV(A86,$A$2,$B$2)</f>
        <v>5.237388005392859</v>
      </c>
      <c r="G86">
        <f aca="true" t="shared" si="19" ref="G86:G101">($A87-$A85)/(F87-F85)</f>
        <v>0.12211707652655848</v>
      </c>
    </row>
    <row r="87" spans="1:7" ht="13.5">
      <c r="A87">
        <v>0.67</v>
      </c>
      <c r="B87">
        <f>[1]!LNORMINV(A87,$A$2,$B$2)</f>
        <v>4.293206120942621</v>
      </c>
      <c r="C87">
        <f t="shared" si="16"/>
        <v>0.12622536448528238</v>
      </c>
      <c r="D87">
        <f>[1]!GAMINV(A87,$A$2,$B$2)</f>
        <v>4.598200575856026</v>
      </c>
      <c r="E87">
        <f t="shared" si="17"/>
        <v>0.10842240684114002</v>
      </c>
      <c r="F87">
        <f t="shared" si="18"/>
        <v>5.319740476901643</v>
      </c>
      <c r="G87">
        <f t="shared" si="19"/>
        <v>0.1206944801960511</v>
      </c>
    </row>
    <row r="88" spans="1:7" ht="13.5">
      <c r="A88">
        <v>0.68</v>
      </c>
      <c r="B88">
        <f>[1]!LNORMINV(A88,$A$2,$B$2)</f>
        <v>4.373639656033919</v>
      </c>
      <c r="C88">
        <f t="shared" si="16"/>
        <v>0.12235128004845856</v>
      </c>
      <c r="D88">
        <f>[1]!GAMINV(A88,$A$2,$B$2)</f>
        <v>4.691601134254597</v>
      </c>
      <c r="E88">
        <f t="shared" si="17"/>
        <v>0.10565369858755086</v>
      </c>
      <c r="F88">
        <f t="shared" si="18"/>
        <v>5.403095666319132</v>
      </c>
      <c r="G88">
        <f t="shared" si="19"/>
        <v>0.1191834074794786</v>
      </c>
    </row>
    <row r="89" spans="1:7" ht="13.5">
      <c r="A89">
        <v>0.69</v>
      </c>
      <c r="B89">
        <f>[1]!LNORMINV(A89,$A$2,$B$2)</f>
        <v>4.456669878674282</v>
      </c>
      <c r="C89">
        <f t="shared" si="16"/>
        <v>0.118447676596935</v>
      </c>
      <c r="D89">
        <f>[1]!GAMINV(A89,$A$2,$B$2)</f>
        <v>4.787498255609535</v>
      </c>
      <c r="E89">
        <f t="shared" si="17"/>
        <v>0.10284941095140497</v>
      </c>
      <c r="F89">
        <f t="shared" si="18"/>
        <v>5.4875490705890115</v>
      </c>
      <c r="G89">
        <f t="shared" si="19"/>
        <v>0.11757282089191808</v>
      </c>
    </row>
    <row r="90" spans="1:7" ht="13.5">
      <c r="A90">
        <v>0.7</v>
      </c>
      <c r="B90">
        <f>[1]!LNORMINV(A90,$A$2,$B$2)</f>
        <v>4.542490583081292</v>
      </c>
      <c r="C90">
        <f t="shared" si="16"/>
        <v>0.11452756637494389</v>
      </c>
      <c r="D90">
        <f>[1]!GAMINV(A90,$A$2,$B$2)</f>
        <v>4.886060196440667</v>
      </c>
      <c r="E90">
        <f t="shared" si="17"/>
        <v>0.10001242776814108</v>
      </c>
      <c r="F90">
        <f t="shared" si="18"/>
        <v>5.5732030078652315</v>
      </c>
      <c r="G90">
        <f t="shared" si="19"/>
        <v>0.11587223393149973</v>
      </c>
    </row>
    <row r="91" spans="1:7" ht="13.5">
      <c r="A91">
        <v>0.71</v>
      </c>
      <c r="B91">
        <f>[1]!LNORMINV(A91,$A$2,$B$2)</f>
        <v>4.631300324714875</v>
      </c>
      <c r="C91">
        <f t="shared" si="16"/>
        <v>0.1105901885653659</v>
      </c>
      <c r="D91">
        <f>[1]!GAMINV(A91,$A$2,$B$2)</f>
        <v>4.987473403161857</v>
      </c>
      <c r="E91">
        <f t="shared" si="17"/>
        <v>0.09714072912432918</v>
      </c>
      <c r="F91">
        <f t="shared" si="18"/>
        <v>5.660152975091478</v>
      </c>
      <c r="G91">
        <f t="shared" si="19"/>
        <v>0.1140779319664878</v>
      </c>
    </row>
    <row r="92" spans="1:7" ht="13.5">
      <c r="A92">
        <v>0.72</v>
      </c>
      <c r="B92">
        <f>[1]!LNORMINV(A92,$A$2,$B$2)</f>
        <v>4.723338452674883</v>
      </c>
      <c r="C92">
        <f t="shared" si="16"/>
        <v>0.10662878235342794</v>
      </c>
      <c r="D92">
        <f>[1]!GAMINV(A92,$A$2,$B$2)</f>
        <v>5.0919470595545135</v>
      </c>
      <c r="E92">
        <f t="shared" si="17"/>
        <v>0.0942391418522789</v>
      </c>
      <c r="F92">
        <f t="shared" si="18"/>
        <v>5.74852175405249</v>
      </c>
      <c r="G92">
        <f t="shared" si="19"/>
        <v>0.11217932461272026</v>
      </c>
    </row>
    <row r="93" spans="1:7" ht="13.5">
      <c r="A93">
        <v>0.73</v>
      </c>
      <c r="B93">
        <f>[1]!LNORMINV(A93,$A$2,$B$2)</f>
        <v>4.81886694189436</v>
      </c>
      <c r="C93">
        <f t="shared" si="16"/>
        <v>0.10265547952681237</v>
      </c>
      <c r="D93">
        <f>[1]!GAMINV(A93,$A$2,$B$2)</f>
        <v>5.199699444347061</v>
      </c>
      <c r="E93">
        <f t="shared" si="17"/>
        <v>0.09130450105055127</v>
      </c>
      <c r="F93">
        <f t="shared" si="18"/>
        <v>5.8384389477432705</v>
      </c>
      <c r="G93">
        <f t="shared" si="19"/>
        <v>0.1101853065540274</v>
      </c>
    </row>
    <row r="94" spans="1:7" ht="13.5">
      <c r="A94">
        <v>0.74</v>
      </c>
      <c r="B94">
        <f>[1]!LNORMINV(A94,$A$2,$B$2)</f>
        <v>4.918164876867625</v>
      </c>
      <c r="C94">
        <f t="shared" si="16"/>
        <v>0.09866747860958881</v>
      </c>
      <c r="D94">
        <f>[1]!GAMINV(A94,$A$2,$B$2)</f>
        <v>5.3109943110030144</v>
      </c>
      <c r="E94">
        <f t="shared" si="17"/>
        <v>0.08833724689384786</v>
      </c>
      <c r="F94">
        <f t="shared" si="18"/>
        <v>5.930034159158822</v>
      </c>
      <c r="G94">
        <f t="shared" si="19"/>
        <v>0.10808932416879265</v>
      </c>
    </row>
    <row r="95" spans="1:7" ht="13.5">
      <c r="A95">
        <v>0.75</v>
      </c>
      <c r="B95">
        <f>[1]!LNORMINV(A95,$A$2,$B$2)</f>
        <v>5.021567976539592</v>
      </c>
      <c r="C95">
        <f t="shared" si="16"/>
        <v>0.09466891059201801</v>
      </c>
      <c r="D95">
        <f>[1]!GAMINV(A95,$A$2,$B$2)</f>
        <v>5.426104507932905</v>
      </c>
      <c r="E95">
        <f t="shared" si="17"/>
        <v>0.08534096266816735</v>
      </c>
      <c r="F95">
        <f t="shared" si="18"/>
        <v>6.023471097345464</v>
      </c>
      <c r="G95">
        <f t="shared" si="19"/>
        <v>0.10589154564638192</v>
      </c>
    </row>
    <row r="96" spans="1:7" ht="13.5">
      <c r="A96">
        <v>0.76</v>
      </c>
      <c r="B96">
        <f>[1]!LNORMINV(A96,$A$2,$B$2)</f>
        <v>5.129427474851786</v>
      </c>
      <c r="C96">
        <f t="shared" si="16"/>
        <v>0.09066220651116202</v>
      </c>
      <c r="D96">
        <f>[1]!GAMINV(A96,$A$2,$B$2)</f>
        <v>5.545348358282354</v>
      </c>
      <c r="E96">
        <f t="shared" si="17"/>
        <v>0.08231263706657191</v>
      </c>
      <c r="F96">
        <f t="shared" si="18"/>
        <v>6.118906650139252</v>
      </c>
      <c r="G96">
        <f t="shared" si="19"/>
        <v>0.10359069415639731</v>
      </c>
    </row>
    <row r="97" spans="1:7" ht="13.5">
      <c r="A97">
        <v>0.77</v>
      </c>
      <c r="B97">
        <f>[1]!LNORMINV(A97,$A$2,$B$2)</f>
        <v>5.242167063740693</v>
      </c>
      <c r="C97">
        <f t="shared" si="16"/>
        <v>0.08664368249548562</v>
      </c>
      <c r="D97">
        <f>[1]!GAMINV(A97,$A$2,$B$2)</f>
        <v>5.669080564985052</v>
      </c>
      <c r="E97">
        <f t="shared" si="17"/>
        <v>0.07925407729090163</v>
      </c>
      <c r="F97">
        <f t="shared" si="18"/>
        <v>6.216538632637821</v>
      </c>
      <c r="G97">
        <f t="shared" si="19"/>
        <v>0.1011777841679378</v>
      </c>
    </row>
    <row r="98" spans="1:7" ht="13.5">
      <c r="A98">
        <v>0.78</v>
      </c>
      <c r="B98">
        <f>[1]!LNORMINV(A98,$A$2,$B$2)</f>
        <v>5.360257922311612</v>
      </c>
      <c r="C98">
        <f t="shared" si="16"/>
        <v>0.08261964066658413</v>
      </c>
      <c r="D98">
        <f>[1]!GAMINV(A98,$A$2,$B$2)</f>
        <v>5.797701305709779</v>
      </c>
      <c r="E98">
        <f t="shared" si="17"/>
        <v>0.07616192482776303</v>
      </c>
      <c r="F98">
        <f t="shared" si="18"/>
        <v>6.316578502359334</v>
      </c>
      <c r="G98">
        <f t="shared" si="19"/>
        <v>0.09865514829753261</v>
      </c>
    </row>
    <row r="99" spans="1:7" ht="13.5">
      <c r="A99">
        <v>0.79</v>
      </c>
      <c r="B99">
        <f>[1]!LNORMINV(A99,$A$2,$B$2)</f>
        <v>5.484240254069746</v>
      </c>
      <c r="C99">
        <f t="shared" si="16"/>
        <v>0.07859383555380768</v>
      </c>
      <c r="D99">
        <f>[1]!GAMINV(A99,$A$2,$B$2)</f>
        <v>5.931678970227949</v>
      </c>
      <c r="E99">
        <f t="shared" si="17"/>
        <v>0.07304026490689879</v>
      </c>
      <c r="F99">
        <f t="shared" si="18"/>
        <v>6.419265001663007</v>
      </c>
      <c r="G99">
        <f t="shared" si="19"/>
        <v>0.09602197502546812</v>
      </c>
    </row>
    <row r="100" spans="1:7" ht="13.5">
      <c r="A100">
        <v>0.8</v>
      </c>
      <c r="B100">
        <f>[1]!LNORMINV(A100,$A$2,$B$2)</f>
        <v>5.61473080633707</v>
      </c>
      <c r="C100">
        <f t="shared" si="16"/>
        <v>0.07456636550478388</v>
      </c>
      <c r="D100">
        <f>[1]!GAMINV(A100,$A$2,$B$2)</f>
        <v>6.071522875572555</v>
      </c>
      <c r="E100">
        <f t="shared" si="17"/>
        <v>0.06989235786644636</v>
      </c>
      <c r="F100">
        <f t="shared" si="18"/>
        <v>6.524864157749107</v>
      </c>
      <c r="G100">
        <f t="shared" si="19"/>
        <v>0.09327281715930234</v>
      </c>
    </row>
    <row r="101" spans="1:7" ht="13.5">
      <c r="A101">
        <v>0.81</v>
      </c>
      <c r="B101">
        <f>[1]!LNORMINV(A101,$A$2,$B$2)</f>
        <v>5.752457698551694</v>
      </c>
      <c r="C101">
        <f t="shared" si="16"/>
        <v>0.07053830355936953</v>
      </c>
      <c r="D101">
        <f>[1]!GAMINV(A101,$A$2,$B$2)</f>
        <v>6.217833288246766</v>
      </c>
      <c r="E101">
        <f t="shared" si="17"/>
        <v>0.06670984272394095</v>
      </c>
      <c r="F101">
        <f t="shared" si="18"/>
        <v>6.633689746289747</v>
      </c>
      <c r="G101">
        <f t="shared" si="19"/>
        <v>0.09040270734753655</v>
      </c>
    </row>
    <row r="102" spans="1:7" ht="13.5">
      <c r="A102">
        <v>0.82</v>
      </c>
      <c r="B102">
        <f>[1]!LNORMINV(A102,$A$2,$B$2)</f>
        <v>5.898264701976715</v>
      </c>
      <c r="C102">
        <f aca="true" t="shared" si="20" ref="C102:C117">($A103-$A101)/(B103-B101)</f>
        <v>0.06651453474494767</v>
      </c>
      <c r="D102">
        <f>[1]!GAMINV(A102,$A$2,$B$2)</f>
        <v>6.371328709064983</v>
      </c>
      <c r="E102">
        <f aca="true" t="shared" si="21" ref="E102:E117">($A103-$A101)/(D103-D101)</f>
        <v>0.06349686000092371</v>
      </c>
      <c r="F102">
        <f aca="true" t="shared" si="22" ref="F102:F117">NORMINV(A102,$A$2,$B$2)</f>
        <v>6.7460964702186175</v>
      </c>
      <c r="G102">
        <f aca="true" t="shared" si="23" ref="G102:G117">($A103-$A101)/(F103-F101)</f>
        <v>0.0874111143130505</v>
      </c>
    </row>
    <row r="103" spans="1:7" ht="13.5">
      <c r="A103">
        <v>0.83</v>
      </c>
      <c r="B103">
        <f>[1]!LNORMINV(A103,$A$2,$B$2)</f>
        <v>6.053143858000762</v>
      </c>
      <c r="C103">
        <f t="shared" si="20"/>
        <v>0.062494590153375745</v>
      </c>
      <c r="D103">
        <f>[1]!GAMINV(A103,$A$2,$B$2)</f>
        <v>6.532809493364766</v>
      </c>
      <c r="E103">
        <f t="shared" si="21"/>
        <v>0.06025381563875499</v>
      </c>
      <c r="F103">
        <f t="shared" si="22"/>
        <v>6.862493602151517</v>
      </c>
      <c r="G103">
        <f t="shared" si="23"/>
        <v>0.08429009651869108</v>
      </c>
    </row>
    <row r="104" spans="1:7" ht="13.5">
      <c r="A104">
        <v>0.84</v>
      </c>
      <c r="B104">
        <f>[1]!LNORMINV(A104,$A$2,$B$2)</f>
        <v>6.218292402789146</v>
      </c>
      <c r="C104">
        <f t="shared" si="20"/>
        <v>0.05848172878707124</v>
      </c>
      <c r="D104">
        <f>[1]!GAMINV(A104,$A$2,$B$2)</f>
        <v>6.703257895424031</v>
      </c>
      <c r="E104">
        <f t="shared" si="21"/>
        <v>0.05697984752550986</v>
      </c>
      <c r="F104">
        <f t="shared" si="22"/>
        <v>6.983372269227402</v>
      </c>
      <c r="G104">
        <f t="shared" si="23"/>
        <v>0.08103562565371371</v>
      </c>
    </row>
    <row r="105" spans="1:7" ht="13.5">
      <c r="A105">
        <v>0.85</v>
      </c>
      <c r="B105">
        <f>[1]!LNORMINV(A105,$A$2,$B$2)</f>
        <v>6.39513101219073</v>
      </c>
      <c r="C105">
        <f t="shared" si="20"/>
        <v>0.054479082226777775</v>
      </c>
      <c r="D105">
        <f>[1]!GAMINV(A105,$A$2,$B$2)</f>
        <v>6.883810783619992</v>
      </c>
      <c r="E105">
        <f t="shared" si="21"/>
        <v>0.05367660748760013</v>
      </c>
      <c r="F105">
        <f t="shared" si="22"/>
        <v>7.1092986318981275</v>
      </c>
      <c r="G105">
        <f t="shared" si="23"/>
        <v>0.07764295758818604</v>
      </c>
    </row>
    <row r="106" spans="1:7" ht="13.5">
      <c r="A106">
        <v>0.86</v>
      </c>
      <c r="B106">
        <f>[1]!LNORMINV(A106,$A$2,$B$2)</f>
        <v>6.585405782503343</v>
      </c>
      <c r="C106">
        <f t="shared" si="20"/>
        <v>0.050491458785941065</v>
      </c>
      <c r="D106">
        <f>[1]!GAMINV(A106,$A$2,$B$2)</f>
        <v>7.075859684846364</v>
      </c>
      <c r="E106">
        <f t="shared" si="21"/>
        <v>0.050340481550076734</v>
      </c>
      <c r="F106">
        <f t="shared" si="22"/>
        <v>7.2409616324002855</v>
      </c>
      <c r="G106">
        <f t="shared" si="23"/>
        <v>0.07410855847241607</v>
      </c>
    </row>
    <row r="107" spans="1:7" ht="13.5">
      <c r="A107">
        <v>0.87</v>
      </c>
      <c r="B107">
        <f>[1]!LNORMINV(A107,$A$2,$B$2)</f>
        <v>6.791237610829327</v>
      </c>
      <c r="C107">
        <f t="shared" si="20"/>
        <v>0.046519638511059135</v>
      </c>
      <c r="D107">
        <f>[1]!GAMINV(A107,$A$2,$B$2)</f>
        <v>7.281105354195461</v>
      </c>
      <c r="E107">
        <f t="shared" si="21"/>
        <v>0.04697262107341668</v>
      </c>
      <c r="F107">
        <f t="shared" si="22"/>
        <v>7.3791729947552085</v>
      </c>
      <c r="G107">
        <f t="shared" si="23"/>
        <v>0.0704222650991394</v>
      </c>
    </row>
    <row r="108" spans="1:7" ht="13.5">
      <c r="A108">
        <v>0.88</v>
      </c>
      <c r="B108">
        <f>[1]!LNORMINV(A108,$A$2,$B$2)</f>
        <v>7.015331737221271</v>
      </c>
      <c r="C108">
        <f t="shared" si="20"/>
        <v>0.042566617983225655</v>
      </c>
      <c r="D108">
        <f>[1]!GAMINV(A108,$A$2,$B$2)</f>
        <v>7.50163962948136</v>
      </c>
      <c r="E108">
        <f t="shared" si="21"/>
        <v>0.04357262533787751</v>
      </c>
      <c r="F108">
        <f t="shared" si="22"/>
        <v>7.5249627217126545</v>
      </c>
      <c r="G108">
        <f t="shared" si="23"/>
        <v>0.06657503252429939</v>
      </c>
    </row>
    <row r="109" spans="1:7" ht="13.5">
      <c r="A109">
        <v>0.89</v>
      </c>
      <c r="B109">
        <f>[1]!LNORMINV(A109,$A$2,$B$2)</f>
        <v>7.2610893619804635</v>
      </c>
      <c r="C109">
        <f t="shared" si="20"/>
        <v>0.03863821246557137</v>
      </c>
      <c r="D109">
        <f>[1]!GAMINV(A109,$A$2,$B$2)</f>
        <v>7.740109140286222</v>
      </c>
      <c r="E109">
        <f t="shared" si="21"/>
        <v>0.04013988127102807</v>
      </c>
      <c r="F109">
        <f t="shared" si="22"/>
        <v>7.67958591596107</v>
      </c>
      <c r="G109">
        <f t="shared" si="23"/>
        <v>0.06256067184591865</v>
      </c>
    </row>
    <row r="110" spans="1:7" ht="13.5">
      <c r="A110">
        <v>0.9</v>
      </c>
      <c r="B110">
        <f>[1]!LNORMINV(A110,$A$2,$B$2)</f>
        <v>7.5329540267570785</v>
      </c>
      <c r="C110">
        <f t="shared" si="20"/>
        <v>0.034736151259945884</v>
      </c>
      <c r="D110">
        <f>[1]!GAMINV(A110,$A$2,$B$2)</f>
        <v>7.999897206900641</v>
      </c>
      <c r="E110">
        <f t="shared" si="21"/>
        <v>0.036672391027149656</v>
      </c>
      <c r="F110">
        <f t="shared" si="22"/>
        <v>7.844652383122593</v>
      </c>
      <c r="G110">
        <f t="shared" si="23"/>
        <v>0.058363974906994236</v>
      </c>
    </row>
    <row r="111" spans="1:7" ht="13.5">
      <c r="A111">
        <v>0.91</v>
      </c>
      <c r="B111">
        <f>[1]!LNORMINV(A111,$A$2,$B$2)</f>
        <v>7.836858388615891</v>
      </c>
      <c r="C111">
        <f t="shared" si="20"/>
        <v>0.03086509156337748</v>
      </c>
      <c r="D111">
        <f>[1]!GAMINV(A111,$A$2,$B$2)</f>
        <v>8.28547854325734</v>
      </c>
      <c r="E111">
        <f t="shared" si="21"/>
        <v>0.033168772143232106</v>
      </c>
      <c r="F111">
        <f t="shared" si="22"/>
        <v>8.02226305595832</v>
      </c>
      <c r="G111">
        <f t="shared" si="23"/>
        <v>0.05397104530800481</v>
      </c>
    </row>
    <row r="112" spans="1:7" ht="13.5">
      <c r="A112">
        <v>0.92</v>
      </c>
      <c r="B112">
        <f>[1]!LNORMINV(A112,$A$2,$B$2)</f>
        <v>8.180935256909356</v>
      </c>
      <c r="C112">
        <f t="shared" si="20"/>
        <v>0.027032794838355537</v>
      </c>
      <c r="D112">
        <f>[1]!GAMINV(A112,$A$2,$B$2)</f>
        <v>8.602874004282057</v>
      </c>
      <c r="E112">
        <f t="shared" si="21"/>
        <v>0.029629244328222292</v>
      </c>
      <c r="F112">
        <f t="shared" si="22"/>
        <v>8.215221451886464</v>
      </c>
      <c r="G112">
        <f t="shared" si="23"/>
        <v>0.04936910266716062</v>
      </c>
    </row>
    <row r="113" spans="1:7" ht="13.5">
      <c r="A113">
        <v>0.93</v>
      </c>
      <c r="B113">
        <f>[1]!LNORMINV(A113,$A$2,$B$2)</f>
        <v>8.57670049963665</v>
      </c>
      <c r="C113">
        <f t="shared" si="20"/>
        <v>0.023243749143799182</v>
      </c>
      <c r="D113">
        <f>[1]!GAMINV(A113,$A$2,$B$2)</f>
        <v>8.960487321019173</v>
      </c>
      <c r="E113">
        <f t="shared" si="21"/>
        <v>0.026047988149439597</v>
      </c>
      <c r="F113">
        <f t="shared" si="22"/>
        <v>8.427374733495526</v>
      </c>
      <c r="G113">
        <f t="shared" si="23"/>
        <v>0.04453402301714288</v>
      </c>
    </row>
    <row r="114" spans="1:7" ht="13.5">
      <c r="A114">
        <v>0.94</v>
      </c>
      <c r="B114">
        <f>[1]!LNORMINV(A114,$A$2,$B$2)</f>
        <v>9.041381645151993</v>
      </c>
      <c r="C114">
        <f t="shared" si="20"/>
        <v>0.019503045788872034</v>
      </c>
      <c r="D114">
        <f>[1]!GAMINV(A114,$A$2,$B$2)</f>
        <v>9.370687621412799</v>
      </c>
      <c r="E114">
        <f t="shared" si="21"/>
        <v>0.02242162461307547</v>
      </c>
      <c r="F114">
        <f t="shared" si="22"/>
        <v>8.66431629320141</v>
      </c>
      <c r="G114">
        <f t="shared" si="23"/>
        <v>0.03943339978215904</v>
      </c>
    </row>
    <row r="115" spans="1:7" ht="13.5">
      <c r="A115">
        <v>0.95</v>
      </c>
      <c r="B115">
        <f>[1]!LNORMINV(A115,$A$2,$B$2)</f>
        <v>9.602181351012767</v>
      </c>
      <c r="C115">
        <f t="shared" si="20"/>
        <v>0.015819466911053435</v>
      </c>
      <c r="D115">
        <f>[1]!GAMINV(A115,$A$2,$B$2)</f>
        <v>9.85248334472999</v>
      </c>
      <c r="E115">
        <f t="shared" si="21"/>
        <v>0.018743485923799475</v>
      </c>
      <c r="F115">
        <f t="shared" si="22"/>
        <v>8.934559001412708</v>
      </c>
      <c r="G115">
        <f t="shared" si="23"/>
        <v>0.03402849226362134</v>
      </c>
    </row>
    <row r="116" spans="1:7" ht="13.5">
      <c r="A116">
        <v>0.96</v>
      </c>
      <c r="B116">
        <f>[1]!LNORMINV(A116,$A$2,$B$2)</f>
        <v>10.305646750446126</v>
      </c>
      <c r="C116">
        <f t="shared" si="20"/>
        <v>0.012200627438424896</v>
      </c>
      <c r="D116">
        <f>[1]!GAMINV(A116,$A$2,$B$2)</f>
        <v>10.437724995426834</v>
      </c>
      <c r="E116">
        <f t="shared" si="21"/>
        <v>0.014999749362582207</v>
      </c>
      <c r="F116">
        <f t="shared" si="22"/>
        <v>9.252059054328129</v>
      </c>
      <c r="G116">
        <f t="shared" si="23"/>
        <v>0.028256182250473848</v>
      </c>
    </row>
    <row r="117" spans="1:7" ht="13.5">
      <c r="A117">
        <v>0.97</v>
      </c>
      <c r="B117">
        <f>[1]!LNORMINV(A117,$A$2,$B$2)</f>
        <v>11.241441307186138</v>
      </c>
      <c r="C117">
        <f t="shared" si="20"/>
        <v>0.008647913081366882</v>
      </c>
      <c r="D117">
        <f>[1]!GAMINV(A117,$A$2,$B$2)</f>
        <v>11.185838957317173</v>
      </c>
      <c r="E117">
        <f t="shared" si="21"/>
        <v>0.01116074168435585</v>
      </c>
      <c r="F117">
        <f t="shared" si="22"/>
        <v>9.64236870559398</v>
      </c>
      <c r="G117">
        <f t="shared" si="23"/>
        <v>0.021997711777524378</v>
      </c>
    </row>
    <row r="118" spans="1:7" ht="13.5">
      <c r="A118">
        <v>0.98</v>
      </c>
      <c r="B118">
        <f>[1]!LNORMINV(A118,$A$2,$B$2)</f>
        <v>12.618343445223594</v>
      </c>
      <c r="C118">
        <f>($A119-$A117)/(B119-B117)</f>
        <v>0.005131758355284333</v>
      </c>
      <c r="D118">
        <f>[1]!GAMINV(A118,$A$2,$B$2)</f>
        <v>12.22972059622407</v>
      </c>
      <c r="E118">
        <f>($A119-$A117)/(D119-D117)</f>
        <v>0.007129500893373109</v>
      </c>
      <c r="F118">
        <f>NORMINV(A118,$A$2,$B$2)</f>
        <v>10.161244527902454</v>
      </c>
      <c r="G118">
        <f>($A119-$A117)/(F119-F117)</f>
        <v>0.014962700848163207</v>
      </c>
    </row>
    <row r="119" spans="1:7" ht="13.5">
      <c r="A119">
        <v>0.99</v>
      </c>
      <c r="B119">
        <f>[1]!LNORMINV(A119,$A$2,$B$2)</f>
        <v>15.138740949014633</v>
      </c>
      <c r="C119">
        <f>($A120-$A118)/(B120-B118)</f>
        <v>0.001507910615791236</v>
      </c>
      <c r="D119">
        <f>[1]!GAMINV(A119,$A$2,$B$2)</f>
        <v>13.991084415465593</v>
      </c>
      <c r="E119">
        <f>($A120-$A118)/(D120-D118)</f>
        <v>0.0025430837481671947</v>
      </c>
      <c r="F119">
        <f>NORMINV(A119,$A$2,$B$2)</f>
        <v>10.9790257839486</v>
      </c>
      <c r="G119">
        <f>($A120-$A118)/(F120-F118)</f>
        <v>0.006110327509197062</v>
      </c>
    </row>
    <row r="120" spans="1:6" ht="13.5">
      <c r="A120">
        <v>0.999</v>
      </c>
      <c r="B120">
        <f>[1]!LNORMINV(A120,$A$2,$B$2)</f>
        <v>25.218559798253427</v>
      </c>
      <c r="D120">
        <f>[1]!GAMINV(A120,$A$2,$B$2)</f>
        <v>19.70096491277218</v>
      </c>
      <c r="F120">
        <f>NORMINV(A120,$A$2,$B$2)</f>
        <v>13.270734153687954</v>
      </c>
    </row>
  </sheetData>
  <printOptions gridLines="1" headings="1"/>
  <pageMargins left="1" right="1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7.875" style="0" customWidth="1"/>
  </cols>
  <sheetData>
    <row r="1" spans="2:4" ht="13.5">
      <c r="B1" s="3" t="s">
        <v>288</v>
      </c>
      <c r="C1" s="3" t="s">
        <v>289</v>
      </c>
      <c r="D1" s="3" t="s">
        <v>290</v>
      </c>
    </row>
    <row r="2" spans="1:4" ht="13.5">
      <c r="A2" t="s">
        <v>291</v>
      </c>
      <c r="B2" s="2">
        <v>80</v>
      </c>
      <c r="C2" s="2">
        <v>100</v>
      </c>
      <c r="D2" s="2">
        <v>125</v>
      </c>
    </row>
    <row r="3" spans="2:5" ht="13.5">
      <c r="B3" s="2"/>
      <c r="C3" s="2"/>
      <c r="D3" s="2"/>
      <c r="E3" s="2"/>
    </row>
    <row r="4" spans="1:5" ht="13.5">
      <c r="A4" s="3" t="s">
        <v>292</v>
      </c>
      <c r="C4" s="2"/>
      <c r="D4" s="2"/>
      <c r="E4" s="2"/>
    </row>
    <row r="5" spans="1:5" ht="13.5">
      <c r="A5" s="3" t="s">
        <v>293</v>
      </c>
      <c r="C5" s="2"/>
      <c r="D5" s="2"/>
      <c r="E5" s="2"/>
    </row>
    <row r="6" spans="1:5" ht="13.5">
      <c r="A6" s="3" t="s">
        <v>294</v>
      </c>
      <c r="D6" s="2"/>
      <c r="E6" s="2"/>
    </row>
    <row r="7" spans="1:5" ht="13.5">
      <c r="A7" s="3" t="s">
        <v>295</v>
      </c>
      <c r="C7" s="2"/>
      <c r="D7" s="2"/>
      <c r="E7" s="2"/>
    </row>
    <row r="8" spans="1:5" ht="13.5">
      <c r="A8" s="3" t="s">
        <v>296</v>
      </c>
      <c r="B8" s="3" t="s">
        <v>297</v>
      </c>
      <c r="C8" t="s">
        <v>298</v>
      </c>
      <c r="D8" t="s">
        <v>285</v>
      </c>
      <c r="E8" s="2"/>
    </row>
    <row r="9" spans="1:5" ht="13.5">
      <c r="A9" t="b">
        <f>(D2-C2=C2-B2)</f>
        <v>0</v>
      </c>
      <c r="B9">
        <f ca="1">RAND()</f>
        <v>0.9735281126385278</v>
      </c>
      <c r="C9">
        <f>[1]!genlinv(B9,B2,C2,D2)</f>
        <v>189.70247320998723</v>
      </c>
      <c r="D9" s="2">
        <f>NORMINV(B9,C2,(D2-B2)/1.35)</f>
        <v>164.51258135105792</v>
      </c>
      <c r="E9" s="2"/>
    </row>
    <row r="10" spans="3:5" ht="13.5">
      <c r="C10" s="2"/>
      <c r="D10" s="2"/>
      <c r="E10" s="2"/>
    </row>
    <row r="11" spans="1:5" ht="13.5">
      <c r="A11" s="3" t="s">
        <v>299</v>
      </c>
      <c r="C11" s="2"/>
      <c r="D11" s="2"/>
      <c r="E11" s="2"/>
    </row>
    <row r="12" spans="1:5" ht="13.5">
      <c r="A12" s="3" t="s">
        <v>293</v>
      </c>
      <c r="B12" s="2"/>
      <c r="C12" s="2"/>
      <c r="D12" s="2"/>
      <c r="E12" s="2"/>
    </row>
    <row r="13" spans="1:5" ht="13.5">
      <c r="A13" s="3" t="s">
        <v>300</v>
      </c>
      <c r="B13" s="2"/>
      <c r="C13" s="2"/>
      <c r="D13" s="2"/>
      <c r="E13" s="2"/>
    </row>
    <row r="14" spans="1:5" ht="13.5">
      <c r="A14" s="3" t="s">
        <v>301</v>
      </c>
      <c r="B14" s="2"/>
      <c r="C14" s="2"/>
      <c r="D14" s="2"/>
      <c r="E14" s="2"/>
    </row>
    <row r="15" spans="1:5" ht="13.5">
      <c r="A15" s="3" t="s">
        <v>302</v>
      </c>
      <c r="B15" s="2"/>
      <c r="C15" s="2"/>
      <c r="D15" s="2"/>
      <c r="E15" s="2"/>
    </row>
    <row r="16" spans="1:5" ht="13.5">
      <c r="A16" s="3" t="s">
        <v>303</v>
      </c>
      <c r="B16" s="2"/>
      <c r="C16" s="2"/>
      <c r="D16" s="2"/>
      <c r="E16" s="2"/>
    </row>
    <row r="17" spans="1:6" ht="13.5">
      <c r="A17" s="3" t="s">
        <v>304</v>
      </c>
      <c r="B17" s="3" t="s">
        <v>297</v>
      </c>
      <c r="C17" t="s">
        <v>298</v>
      </c>
      <c r="D17" s="3" t="s">
        <v>305</v>
      </c>
      <c r="F17" s="3"/>
    </row>
    <row r="18" spans="1:4" ht="13.5">
      <c r="A18" s="2" t="b">
        <f>(D2/C2=C2/B2)</f>
        <v>1</v>
      </c>
      <c r="B18" s="2">
        <f>B9</f>
        <v>0.9735281126385278</v>
      </c>
      <c r="C18" s="2">
        <f>[1]!genlinv(B18,B2,C2,D2)</f>
        <v>189.70247320998723</v>
      </c>
      <c r="D18" s="7">
        <f>EXP(NORMINV(B18,E19,E20))</f>
        <v>189.6107225698319</v>
      </c>
    </row>
    <row r="19" spans="5:6" ht="13.5">
      <c r="E19">
        <f>LN(C2)</f>
        <v>4.605170185988092</v>
      </c>
      <c r="F19" t="s">
        <v>306</v>
      </c>
    </row>
    <row r="20" spans="5:7" ht="13.5">
      <c r="E20" s="17">
        <f>(LN(D2)-LN(B2))/1.35</f>
        <v>0.33058303898401503</v>
      </c>
      <c r="F20" t="s">
        <v>307</v>
      </c>
      <c r="G20" s="3"/>
    </row>
    <row r="21" ht="13.5">
      <c r="A21" s="3" t="s">
        <v>308</v>
      </c>
    </row>
    <row r="22" ht="13.5">
      <c r="A22" s="3" t="s">
        <v>309</v>
      </c>
    </row>
    <row r="23" spans="5:6" ht="13.5">
      <c r="E23">
        <f>EXP(E19+0.5*E20^2)</f>
        <v>105.61630458363655</v>
      </c>
      <c r="F23" t="s">
        <v>310</v>
      </c>
    </row>
    <row r="24" spans="1:6" ht="13.5">
      <c r="A24" s="15" t="s">
        <v>5</v>
      </c>
      <c r="E24">
        <f>E23*((EXP(E20^2)-1)^0.5)</f>
        <v>35.8909595043774</v>
      </c>
      <c r="F24" t="s">
        <v>311</v>
      </c>
    </row>
    <row r="25" spans="1:6" ht="13.5">
      <c r="A25" s="16" t="s">
        <v>312</v>
      </c>
      <c r="E25">
        <f>[1]!LNORMINV(B18,E23,E24)</f>
        <v>189.61072239430564</v>
      </c>
      <c r="F25" s="4" t="s">
        <v>281</v>
      </c>
    </row>
    <row r="26" ht="13.5">
      <c r="A26" s="16" t="s">
        <v>313</v>
      </c>
    </row>
    <row r="27" ht="13.5">
      <c r="A27" s="16" t="s">
        <v>314</v>
      </c>
    </row>
    <row r="28" ht="13.5">
      <c r="A28" s="16" t="s">
        <v>315</v>
      </c>
    </row>
    <row r="29" ht="13.5">
      <c r="A29" s="16" t="s">
        <v>316</v>
      </c>
    </row>
    <row r="30" ht="13.5">
      <c r="A30" s="15" t="s">
        <v>317</v>
      </c>
    </row>
    <row r="31" ht="13.5">
      <c r="A31" s="16" t="s">
        <v>318</v>
      </c>
    </row>
    <row r="32" ht="13.5">
      <c r="A32" s="16" t="s">
        <v>319</v>
      </c>
    </row>
    <row r="33" ht="13.5">
      <c r="A33" s="16" t="s">
        <v>320</v>
      </c>
    </row>
    <row r="34" ht="13.5">
      <c r="A34" s="16" t="s">
        <v>321</v>
      </c>
    </row>
    <row r="35" ht="13.5">
      <c r="A35" s="16" t="s">
        <v>322</v>
      </c>
    </row>
    <row r="36" ht="13.5">
      <c r="A36" s="16" t="s">
        <v>323</v>
      </c>
    </row>
    <row r="37" ht="13.5">
      <c r="A37" s="16" t="s">
        <v>324</v>
      </c>
    </row>
    <row r="43" ht="13.5">
      <c r="C43" s="3"/>
    </row>
  </sheetData>
  <printOptions gridLines="1" headings="1"/>
  <pageMargins left="1" right="1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9.00390625" defaultRowHeight="13.5"/>
  <cols>
    <col min="1" max="1" width="33.875" style="0" customWidth="1"/>
    <col min="2" max="4" width="6.75390625" style="0" customWidth="1"/>
    <col min="5" max="5" width="3.75390625" style="0" customWidth="1"/>
    <col min="6" max="6" width="6.875" style="0" customWidth="1"/>
    <col min="7" max="7" width="7.875" style="0" customWidth="1"/>
  </cols>
  <sheetData>
    <row r="1" spans="1:7" ht="13.5">
      <c r="A1" s="3" t="s">
        <v>325</v>
      </c>
      <c r="B1" s="3" t="s">
        <v>326</v>
      </c>
      <c r="C1" s="3" t="s">
        <v>327</v>
      </c>
      <c r="D1" s="3" t="s">
        <v>328</v>
      </c>
      <c r="E1" s="3"/>
      <c r="F1" t="s">
        <v>329</v>
      </c>
      <c r="G1" t="s">
        <v>330</v>
      </c>
    </row>
    <row r="2" spans="1:7" ht="13.5">
      <c r="A2">
        <f ca="1">RAND()</f>
        <v>0.23092122298139817</v>
      </c>
      <c r="B2">
        <v>25</v>
      </c>
      <c r="C2">
        <v>50</v>
      </c>
      <c r="D2">
        <v>80</v>
      </c>
      <c r="F2">
        <v>0</v>
      </c>
      <c r="G2">
        <v>150</v>
      </c>
    </row>
    <row r="3" spans="2:4" ht="13.5">
      <c r="B3" s="2"/>
      <c r="C3" s="2"/>
      <c r="D3" s="2"/>
    </row>
    <row r="4" ht="13.5">
      <c r="A4" s="3" t="s">
        <v>331</v>
      </c>
    </row>
    <row r="5" spans="1:2" ht="13.5">
      <c r="A5" s="3" t="s">
        <v>332</v>
      </c>
      <c r="B5">
        <f>NORMINV(A2,0,1/0.67449)</f>
        <v>-1.0909210214912235</v>
      </c>
    </row>
    <row r="6" spans="1:7" ht="13.5">
      <c r="A6" t="s">
        <v>333</v>
      </c>
      <c r="B6">
        <f>(D2-C2)/(C2-B2)</f>
        <v>1.2</v>
      </c>
      <c r="G6" s="10" t="s">
        <v>334</v>
      </c>
    </row>
    <row r="7" spans="1:7" ht="13.5">
      <c r="A7" s="3" t="s">
        <v>335</v>
      </c>
      <c r="B7">
        <f>IF(B6=1,C2+(D2-C2)*B5,C2+(D2-C2)*(B6^B5-1)/(B6-1))</f>
        <v>22.944972241631636</v>
      </c>
      <c r="G7">
        <f>MAX(F2,MIN(G2,B7))</f>
        <v>22.944972241631636</v>
      </c>
    </row>
    <row r="8" spans="1:7" ht="13.5">
      <c r="A8" s="3" t="s">
        <v>336</v>
      </c>
      <c r="B8">
        <f>[1]!genlinv(A2,B2,C2,D2)</f>
        <v>22.944972850089663</v>
      </c>
      <c r="G8">
        <f>[1]!genlinv(A2,B2,C2,D2,F2,G2)</f>
        <v>22.944972850089663</v>
      </c>
    </row>
    <row r="10" ht="13.5">
      <c r="A10" t="s">
        <v>337</v>
      </c>
    </row>
    <row r="11" ht="13.5">
      <c r="A11" t="s">
        <v>338</v>
      </c>
    </row>
    <row r="12" ht="13.5">
      <c r="A12" t="s">
        <v>339</v>
      </c>
    </row>
    <row r="13" ht="13.5">
      <c r="A13" t="s">
        <v>340</v>
      </c>
    </row>
    <row r="14" ht="13.5">
      <c r="A14" t="s">
        <v>341</v>
      </c>
    </row>
    <row r="15" ht="13.5">
      <c r="A15" t="s">
        <v>342</v>
      </c>
    </row>
    <row r="16" ht="13.5">
      <c r="A16" t="s">
        <v>343</v>
      </c>
    </row>
    <row r="17" ht="13.5">
      <c r="A17" t="s">
        <v>344</v>
      </c>
    </row>
  </sheetData>
  <printOptions gridLines="1" headings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Myerson</dc:creator>
  <cp:keywords/>
  <dc:description/>
  <cp:lastModifiedBy>Roger Myerson</cp:lastModifiedBy>
  <cp:lastPrinted>2002-10-22T18:52:47Z</cp:lastPrinted>
  <dcterms:created xsi:type="dcterms:W3CDTF">2001-09-14T16:48:32Z</dcterms:created>
  <dcterms:modified xsi:type="dcterms:W3CDTF">2004-08-24T14:23:21Z</dcterms:modified>
  <cp:category/>
  <cp:version/>
  <cp:contentType/>
  <cp:contentStatus/>
</cp:coreProperties>
</file>