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eduardozambrano/Dropbox/University Life/Calpoly/Teaching/Econ 409/Book/revision/changed files/Revised Material/Revised Excel Files/"/>
    </mc:Choice>
  </mc:AlternateContent>
  <bookViews>
    <workbookView xWindow="6560" yWindow="460" windowWidth="31920" windowHeight="20660" tabRatio="677"/>
  </bookViews>
  <sheets>
    <sheet name="Charts" sheetId="1" r:id="rId1"/>
    <sheet name="Figure3" sheetId="2" r:id="rId2"/>
    <sheet name="Figure4" sheetId="3" r:id="rId3"/>
    <sheet name="Figure5" sheetId="4" r:id="rId4"/>
    <sheet name="Figure6" sheetId="5" r:id="rId5"/>
    <sheet name="Figure8" sheetId="6" r:id="rId6"/>
    <sheet name="Figure9" sheetId="7" r:id="rId7"/>
    <sheet name="Figure11" sheetId="8" r:id="rId8"/>
  </sheets>
  <externalReferences>
    <externalReference r:id="rId9"/>
  </externalReferences>
  <definedNames>
    <definedName name="SimTable" localSheetId="7">Figure11!$A$13:$B$514</definedName>
    <definedName name="SimTable" localSheetId="4">Figure6!$A$14:$B$415</definedName>
    <definedName name="SimTable" localSheetId="6">Figure9!$A$27:$B$428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A13" i="2" l="1"/>
  <c r="G9" i="2" s="1"/>
  <c r="D16" i="8"/>
  <c r="J17" i="8"/>
  <c r="B23" i="7"/>
  <c r="H18" i="7" s="1"/>
  <c r="B10" i="5"/>
  <c r="D15" i="8"/>
  <c r="H14" i="8" s="1"/>
  <c r="D17" i="8"/>
  <c r="E8" i="6"/>
  <c r="B22" i="7"/>
  <c r="E7" i="8"/>
  <c r="H7" i="8"/>
  <c r="B8" i="8"/>
  <c r="C12" i="8"/>
  <c r="D14" i="8"/>
  <c r="H17" i="8"/>
  <c r="G14" i="8"/>
  <c r="A6" i="2"/>
  <c r="L5" i="2"/>
  <c r="M5" i="2"/>
  <c r="A7" i="2"/>
  <c r="L6" i="2"/>
  <c r="M6" i="2"/>
  <c r="A8" i="2"/>
  <c r="L7" i="2"/>
  <c r="M7" i="2"/>
  <c r="A9" i="2"/>
  <c r="L8" i="2"/>
  <c r="L9" i="2" s="1"/>
  <c r="M8" i="2"/>
  <c r="M9" i="2"/>
  <c r="M10" i="2" s="1"/>
  <c r="C10" i="2"/>
  <c r="L10" i="2"/>
  <c r="L11" i="2"/>
  <c r="M11" i="2"/>
  <c r="M12" i="2" s="1"/>
  <c r="L12" i="2"/>
  <c r="L13" i="2"/>
  <c r="M13" i="2"/>
  <c r="M14" i="2"/>
  <c r="B15" i="2"/>
  <c r="B16" i="2"/>
  <c r="N4" i="3"/>
  <c r="E5" i="3"/>
  <c r="L5" i="3"/>
  <c r="N5" i="3" s="1"/>
  <c r="M5" i="3"/>
  <c r="O5" i="3" s="1"/>
  <c r="E6" i="3"/>
  <c r="K6" i="3"/>
  <c r="L6" i="3" s="1"/>
  <c r="E7" i="3"/>
  <c r="M7" i="3"/>
  <c r="O7" i="3" s="1"/>
  <c r="E8" i="3"/>
  <c r="E9" i="3"/>
  <c r="M9" i="3"/>
  <c r="M10" i="3" s="1"/>
  <c r="O10" i="3" s="1"/>
  <c r="C10" i="3"/>
  <c r="M11" i="3"/>
  <c r="O11" i="3"/>
  <c r="M12" i="3"/>
  <c r="O12" i="3"/>
  <c r="M13" i="3"/>
  <c r="O13" i="3"/>
  <c r="M14" i="3"/>
  <c r="N14" i="3"/>
  <c r="O14" i="3"/>
  <c r="N15" i="3"/>
  <c r="B13" i="4"/>
  <c r="D5" i="4" s="1"/>
  <c r="D13" i="4" s="1"/>
  <c r="F5" i="4"/>
  <c r="F13" i="4" s="1"/>
  <c r="D6" i="4"/>
  <c r="F6" i="4"/>
  <c r="D7" i="4"/>
  <c r="F7" i="4"/>
  <c r="D8" i="4"/>
  <c r="F8" i="4"/>
  <c r="D9" i="4"/>
  <c r="F9" i="4"/>
  <c r="C10" i="4"/>
  <c r="D7" i="5"/>
  <c r="B9" i="5"/>
  <c r="D18" i="5" s="1"/>
  <c r="B11" i="5"/>
  <c r="D45" i="5"/>
  <c r="D49" i="5"/>
  <c r="D53" i="5"/>
  <c r="D57" i="5"/>
  <c r="D61" i="5"/>
  <c r="D65" i="5"/>
  <c r="D69" i="5"/>
  <c r="D73" i="5"/>
  <c r="D77" i="5"/>
  <c r="D81" i="5"/>
  <c r="D85" i="5"/>
  <c r="D89" i="5"/>
  <c r="D93" i="5"/>
  <c r="D97" i="5"/>
  <c r="D101" i="5"/>
  <c r="D105" i="5"/>
  <c r="D109" i="5"/>
  <c r="D113" i="5"/>
  <c r="B8" i="6"/>
  <c r="E6" i="7"/>
  <c r="J6" i="7" s="1"/>
  <c r="J14" i="7" s="1"/>
  <c r="E7" i="7"/>
  <c r="J7" i="7"/>
  <c r="E8" i="7"/>
  <c r="J8" i="7" s="1"/>
  <c r="E9" i="7"/>
  <c r="J9" i="7"/>
  <c r="E10" i="7"/>
  <c r="J10" i="7" s="1"/>
  <c r="B14" i="7"/>
  <c r="B21" i="7"/>
  <c r="F26" i="7" s="1"/>
  <c r="B24" i="7"/>
  <c r="G11" i="8"/>
  <c r="H24" i="7"/>
  <c r="H14" i="7"/>
  <c r="C23" i="6"/>
  <c r="B22" i="6"/>
  <c r="A21" i="6"/>
  <c r="C19" i="6"/>
  <c r="B18" i="6"/>
  <c r="A17" i="6"/>
  <c r="C15" i="6"/>
  <c r="B14" i="5"/>
  <c r="E18" i="3"/>
  <c r="B14" i="2"/>
  <c r="D11" i="8"/>
  <c r="B18" i="7"/>
  <c r="C24" i="6"/>
  <c r="B23" i="6"/>
  <c r="A22" i="6"/>
  <c r="C20" i="6"/>
  <c r="B19" i="6"/>
  <c r="A18" i="6"/>
  <c r="C16" i="6"/>
  <c r="B15" i="6"/>
  <c r="E7" i="5"/>
  <c r="B18" i="3"/>
  <c r="A11" i="8"/>
  <c r="K18" i="7"/>
  <c r="B24" i="6"/>
  <c r="A23" i="6"/>
  <c r="C21" i="6"/>
  <c r="B20" i="6"/>
  <c r="A19" i="6"/>
  <c r="C17" i="6"/>
  <c r="B16" i="6"/>
  <c r="A15" i="6"/>
  <c r="G13" i="4"/>
  <c r="B14" i="3"/>
  <c r="H11" i="7"/>
  <c r="J16" i="7"/>
  <c r="A24" i="6"/>
  <c r="C22" i="6"/>
  <c r="B21" i="6"/>
  <c r="A20" i="6"/>
  <c r="C18" i="6"/>
  <c r="B17" i="6"/>
  <c r="A16" i="6"/>
  <c r="E9" i="6"/>
  <c r="C13" i="4"/>
  <c r="E14" i="3" l="1"/>
  <c r="B10" i="6"/>
  <c r="E16" i="6"/>
  <c r="E17" i="6" s="1"/>
  <c r="E15" i="6"/>
  <c r="K16" i="7"/>
  <c r="E18" i="7"/>
  <c r="B27" i="7" s="1"/>
  <c r="B13" i="8"/>
  <c r="L7" i="3"/>
  <c r="N7" i="3" s="1"/>
  <c r="N6" i="3"/>
  <c r="D37" i="5"/>
  <c r="E14" i="7"/>
  <c r="K14" i="7" s="1"/>
  <c r="D104" i="5"/>
  <c r="D92" i="5"/>
  <c r="D80" i="5"/>
  <c r="D68" i="5"/>
  <c r="D60" i="5"/>
  <c r="D52" i="5"/>
  <c r="D44" i="5"/>
  <c r="D32" i="5"/>
  <c r="D20" i="5"/>
  <c r="D108" i="5"/>
  <c r="D96" i="5"/>
  <c r="D84" i="5"/>
  <c r="D76" i="5"/>
  <c r="D64" i="5"/>
  <c r="D56" i="5"/>
  <c r="D48" i="5"/>
  <c r="D40" i="5"/>
  <c r="D36" i="5"/>
  <c r="D28" i="5"/>
  <c r="D24" i="5"/>
  <c r="D16" i="5"/>
  <c r="E26" i="7"/>
  <c r="D115" i="5"/>
  <c r="D111" i="5"/>
  <c r="D107" i="5"/>
  <c r="D103" i="5"/>
  <c r="D99" i="5"/>
  <c r="D95" i="5"/>
  <c r="D91" i="5"/>
  <c r="D87" i="5"/>
  <c r="D83" i="5"/>
  <c r="D79" i="5"/>
  <c r="D75" i="5"/>
  <c r="D71" i="5"/>
  <c r="D67" i="5"/>
  <c r="D63" i="5"/>
  <c r="D59" i="5"/>
  <c r="D55" i="5"/>
  <c r="D51" i="5"/>
  <c r="D47" i="5"/>
  <c r="D43" i="5"/>
  <c r="D39" i="5"/>
  <c r="D35" i="5"/>
  <c r="D31" i="5"/>
  <c r="D27" i="5"/>
  <c r="D23" i="5"/>
  <c r="D19" i="5"/>
  <c r="D15" i="5"/>
  <c r="O9" i="3"/>
  <c r="M8" i="3"/>
  <c r="O8" i="3" s="1"/>
  <c r="K7" i="3"/>
  <c r="M6" i="3"/>
  <c r="O6" i="3" s="1"/>
  <c r="G8" i="2"/>
  <c r="G7" i="2"/>
  <c r="G6" i="2"/>
  <c r="G5" i="2"/>
  <c r="D41" i="5"/>
  <c r="D33" i="5"/>
  <c r="D29" i="5"/>
  <c r="D25" i="5"/>
  <c r="D21" i="5"/>
  <c r="D17" i="5"/>
  <c r="D112" i="5"/>
  <c r="D100" i="5"/>
  <c r="D88" i="5"/>
  <c r="D72" i="5"/>
  <c r="D114" i="5"/>
  <c r="D110" i="5"/>
  <c r="D106" i="5"/>
  <c r="D102" i="5"/>
  <c r="D98" i="5"/>
  <c r="D94" i="5"/>
  <c r="D90" i="5"/>
  <c r="D86" i="5"/>
  <c r="D82" i="5"/>
  <c r="D78" i="5"/>
  <c r="D74" i="5"/>
  <c r="D70" i="5"/>
  <c r="D66" i="5"/>
  <c r="D62" i="5"/>
  <c r="D58" i="5"/>
  <c r="D54" i="5"/>
  <c r="D50" i="5"/>
  <c r="D46" i="5"/>
  <c r="D42" i="5"/>
  <c r="D38" i="5"/>
  <c r="D34" i="5"/>
  <c r="D30" i="5"/>
  <c r="D26" i="5"/>
  <c r="D22" i="5"/>
  <c r="L8" i="3" l="1"/>
  <c r="K8" i="3"/>
  <c r="A14" i="6"/>
  <c r="J18" i="6"/>
  <c r="J20" i="6" s="1"/>
  <c r="B13" i="2"/>
  <c r="D13" i="5"/>
  <c r="F20" i="6"/>
  <c r="K20" i="6"/>
  <c r="E20" i="6"/>
  <c r="K25" i="6"/>
  <c r="E10" i="6"/>
  <c r="H12" i="6" s="1"/>
  <c r="L25" i="6" s="1"/>
  <c r="J22" i="6" l="1"/>
  <c r="K9" i="3"/>
  <c r="L12" i="3" s="1"/>
  <c r="L10" i="3"/>
  <c r="E22" i="6"/>
  <c r="N8" i="3"/>
  <c r="L9" i="3"/>
  <c r="N9" i="3" s="1"/>
  <c r="L11" i="3" l="1"/>
  <c r="N11" i="3" s="1"/>
  <c r="N10" i="3"/>
  <c r="N12" i="3"/>
  <c r="L13" i="3"/>
  <c r="N13" i="3" s="1"/>
</calcChain>
</file>

<file path=xl/sharedStrings.xml><?xml version="1.0" encoding="utf-8"?>
<sst xmlns="http://schemas.openxmlformats.org/spreadsheetml/2006/main" count="243" uniqueCount="204">
  <si>
    <t>Figure 1.  Discrete Probability Distribution for the Number of Entrants (K)</t>
  </si>
  <si>
    <t>Figure 2.  Inverse cumulative probability curve for number of entrants (K).</t>
  </si>
  <si>
    <t>Figure 7.  Inverse Cumulative for Number of Entrants from Simulation Data.</t>
  </si>
  <si>
    <t>``</t>
  </si>
  <si>
    <t>Figure 10.  Cumulative Risk Profile, from simulation data</t>
  </si>
  <si>
    <t>Discrete probablity distribution for Profit</t>
  </si>
  <si>
    <t>A DISCRETE RANDOM VARIABLE FROM THE "SUPERIOR SEMICONDUCTOR" CASE</t>
  </si>
  <si>
    <t xml:space="preserve"> K = (unknown number of competitors entering market).</t>
  </si>
  <si>
    <t xml:space="preserve"> Little k = (possible value of big K).</t>
  </si>
  <si>
    <t>For chart</t>
  </si>
  <si>
    <t xml:space="preserve"> P(K&lt;k)</t>
  </si>
  <si>
    <t xml:space="preserve">   k</t>
  </si>
  <si>
    <t xml:space="preserve"> P(K=k)</t>
  </si>
  <si>
    <t>(for B16)</t>
  </si>
  <si>
    <t>Simulated value</t>
  </si>
  <si>
    <t>FORMULAS</t>
  </si>
  <si>
    <t>A6.  =A5+C5</t>
  </si>
  <si>
    <t xml:space="preserve"> A6 copied to A6:A9</t>
  </si>
  <si>
    <t>C10.  =SUM(C5:C9)</t>
  </si>
  <si>
    <t>A13.  =RAND()</t>
  </si>
  <si>
    <t>G5.  =IF($A$13&lt;A6,B5,0)</t>
  </si>
  <si>
    <t>G6.  =IF(AND(A6&lt;=$A$13,$A$13&lt;A7),B6,0)</t>
  </si>
  <si>
    <t xml:space="preserve"> G6 copied to G6:G8</t>
  </si>
  <si>
    <t>G9.  =IF(A9&lt;=$A$13,B9,0)</t>
  </si>
  <si>
    <t>B13.  =SUM(G5:G9)</t>
  </si>
  <si>
    <t>B14.  =DISCRINV(A13,B5:B9,C5:C9)</t>
  </si>
  <si>
    <t>B15.  =IF(A13&lt;A6,B5,IF(A13&lt;A7,B6,IF(A13&lt;A8,B7,IF(A13&lt;A9,B8,B9))))</t>
  </si>
  <si>
    <t>B16.  =VLOOKUP(A13,A5:B9,2)</t>
  </si>
  <si>
    <t>"SUPERIOR SEMICONDUCTOR" CASE</t>
  </si>
  <si>
    <t>FixedCost</t>
  </si>
  <si>
    <t>MarketValue</t>
  </si>
  <si>
    <t>Let K = (unknown number of competitors entering market).</t>
  </si>
  <si>
    <t>For charts</t>
  </si>
  <si>
    <t>Profit ($millions)</t>
  </si>
  <si>
    <t>sum</t>
  </si>
  <si>
    <t>Model 1 (correct)</t>
  </si>
  <si>
    <t>#Competitors entering</t>
  </si>
  <si>
    <t>Profit</t>
  </si>
  <si>
    <t>Model 2 (WRONG!!)</t>
  </si>
  <si>
    <t>FORMULAS FROM RANGE A1:E18</t>
  </si>
  <si>
    <t>E5.  =$E$2/(1+B5)-$E$1</t>
  </si>
  <si>
    <t xml:space="preserve"> E5 copied to E5:E9</t>
  </si>
  <si>
    <t>B14.  =DISCRINV(RAND(),B5:B9,C5:C9)</t>
  </si>
  <si>
    <t>E14.  =$E$2/(1+B14)-$E$1</t>
  </si>
  <si>
    <t>B18.  =DISCRINV(RAND(),B5:B9,$C$5:$C$9)</t>
  </si>
  <si>
    <t>E18.  =DISCRINV(RAND(),E5:E9,$C$5:$C$9)</t>
  </si>
  <si>
    <t>DISCRETE RANDOM VARIABLES FROM THE "SUPERIOR SEMICONDUCTOR" CASE</t>
  </si>
  <si>
    <t>(k-E(K))^2</t>
  </si>
  <si>
    <t>Y=Profit</t>
  </si>
  <si>
    <t>Mean or E(K)</t>
  </si>
  <si>
    <t>Stdev(K)</t>
  </si>
  <si>
    <t>E(Y)</t>
  </si>
  <si>
    <t>Stdev(Y)</t>
  </si>
  <si>
    <t>FORMULAS FROM RANGE A1:G13</t>
  </si>
  <si>
    <t>D5.  =(B5-$B$13)^2</t>
  </si>
  <si>
    <t xml:space="preserve"> D5 copied to D5:D9</t>
  </si>
  <si>
    <t>F5.  =100/(1+B5)-26</t>
  </si>
  <si>
    <t xml:space="preserve"> F5 copied to F5:F9</t>
  </si>
  <si>
    <t>B13.  =SUMPRODUCT(B5:B9,$C$5:$C$9)</t>
  </si>
  <si>
    <t>C13.  =STDEVPR(B5:B9,$C$5:$C$9)</t>
  </si>
  <si>
    <t>D13.  =SUMPRODUCT(D5:D9,C5:C9)^0.5</t>
  </si>
  <si>
    <t>F13.  =SUMPRODUCT(F5:F9,$C$5:$C$9)</t>
  </si>
  <si>
    <t>G13.  =STDEVPR(F5:F9,$C$5:$C$9)</t>
  </si>
  <si>
    <t>Probability distribution of K (#competitors entering market)</t>
  </si>
  <si>
    <t>E(K)</t>
  </si>
  <si>
    <t>E(K) estimated from SimTable</t>
  </si>
  <si>
    <t>Stdev(K) estimated from SimTable</t>
  </si>
  <si>
    <t>Sample size n</t>
  </si>
  <si>
    <t>Sim'd K</t>
  </si>
  <si>
    <t>(SumSqDevs/(n-1))^0.5</t>
  </si>
  <si>
    <t>To compute the sample standard deviations, Excel's STDEV function</t>
  </si>
  <si>
    <t>SimTable</t>
  </si>
  <si>
    <t>Squared deviations from sample mean</t>
  </si>
  <si>
    <t>divides the sum of squared deviations from the sample mean by n-1,</t>
  </si>
  <si>
    <t>because the deviations from the sample mean must sum to zero</t>
  </si>
  <si>
    <t xml:space="preserve"> FORMULAS FROM RANGE A1:E15</t>
  </si>
  <si>
    <t>(while deviations from the true expected value do not)</t>
  </si>
  <si>
    <t xml:space="preserve"> D7.  =SUMPRODUCT(A3:A7,B3:B7)</t>
  </si>
  <si>
    <t>and so dividing by n would yield variance estimates that are</t>
  </si>
  <si>
    <t xml:space="preserve"> E7.  =STDEVPR(A3:A7,B3:B7)</t>
  </si>
  <si>
    <t>biased slightly downwards.</t>
  </si>
  <si>
    <t xml:space="preserve"> B9.  =AVERAGE(B15:B415)</t>
  </si>
  <si>
    <t>Because some people still prefer to divide by n here, Excel provides</t>
  </si>
  <si>
    <t xml:space="preserve"> B11.  =COUNT(B15:B415)</t>
  </si>
  <si>
    <t xml:space="preserve"> D13.  =(SUM(D15:D415)/(B11-1))^0.5</t>
  </si>
  <si>
    <t xml:space="preserve"> B14.  =DISCRINV(RAND(),A3:A7,B3:B7)</t>
  </si>
  <si>
    <t xml:space="preserve"> D15.  =(B15-$B$9)^2</t>
  </si>
  <si>
    <t xml:space="preserve">  D15 copied to D15:D415</t>
  </si>
  <si>
    <t xml:space="preserve">  Calculated from probability distribution:</t>
  </si>
  <si>
    <t>Stdev of sample mean</t>
  </si>
  <si>
    <t>Normal random variable with same E &amp; Stdev as sample mean:</t>
  </si>
  <si>
    <t xml:space="preserve">  Calculated from the sample:</t>
  </si>
  <si>
    <t>Sample mean or average</t>
  </si>
  <si>
    <t>Sample standard deviation</t>
  </si>
  <si>
    <t>Est'd stdev of sample mean</t>
  </si>
  <si>
    <t xml:space="preserve">  95% confidence interval for E(K)</t>
  </si>
  <si>
    <t xml:space="preserve">  95% confidence interval for E(K) (with T-coef)</t>
  </si>
  <si>
    <t xml:space="preserve">  E(K) actually in the interval?</t>
  </si>
  <si>
    <t>SampleAvg</t>
  </si>
  <si>
    <t>Normal</t>
  </si>
  <si>
    <t>E8.  =SUMPRODUCT(A3:A7,B3:B7)</t>
  </si>
  <si>
    <t>E15.  =AVERAGE(A15:C24)</t>
  </si>
  <si>
    <t>E9.  =STDEVPR(A3:A7,B3:B7)</t>
  </si>
  <si>
    <t>B8.  =SUM(B3:B7)</t>
  </si>
  <si>
    <t>E17.  =E16/(B10^0.5)</t>
  </si>
  <si>
    <t>B10.  =COUNT(A15:C24)</t>
  </si>
  <si>
    <t>E20.  =E15-1.96*E17</t>
  </si>
  <si>
    <t>E10.  =E9/(B10^0.5)</t>
  </si>
  <si>
    <t>F20.  =E15+1.96*E17</t>
  </si>
  <si>
    <t>E22.  =AND(E20&lt;E8,E8&lt;F20)</t>
  </si>
  <si>
    <t>A15.  =DISCRINV(RAND(),$A$3:$A$7,$B$3:$B$7)</t>
  </si>
  <si>
    <t xml:space="preserve"> A15 copied to A15:C24</t>
  </si>
  <si>
    <r>
      <t xml:space="preserve">SUPERIOR SEMICONDUCTOR (A) </t>
    </r>
    <r>
      <rPr>
        <sz val="10"/>
        <rFont val="Courier New"/>
        <family val="3"/>
      </rPr>
      <t>(B)</t>
    </r>
  </si>
  <si>
    <t>A</t>
  </si>
  <si>
    <t>FORMULAS FROM RANGE J1:K18</t>
  </si>
  <si>
    <t>B</t>
  </si>
  <si>
    <t>J6.  =$J$1*E6+$J$2</t>
  </si>
  <si>
    <t>Let K = (unknown number of competitors entering market)</t>
  </si>
  <si>
    <t>Let Y=Profit</t>
  </si>
  <si>
    <t xml:space="preserve"> J6 copied to J6:J10</t>
  </si>
  <si>
    <t>Probability distribution of K</t>
  </si>
  <si>
    <t>J14.  =SUMPRODUCT(J6:J10,$C$6:$C$10)</t>
  </si>
  <si>
    <t>Profit ($millions) if k=#compet'rs</t>
  </si>
  <si>
    <t>R=A*Y+B</t>
  </si>
  <si>
    <t>K14.  =$J$1*E14+$J$2</t>
  </si>
  <si>
    <t>J16.  =STDEVPR(J6:J10,C6:C10)</t>
  </si>
  <si>
    <t>Measuring risk tolerance</t>
  </si>
  <si>
    <t>K18.  =STDEVPR(E6:E10,C6:C10)</t>
  </si>
  <si>
    <t>High$</t>
  </si>
  <si>
    <t>K16.  =ABS($J$1)*K18</t>
  </si>
  <si>
    <t>Low$</t>
  </si>
  <si>
    <t>Assessed value$</t>
  </si>
  <si>
    <t>RiskTolerance</t>
  </si>
  <si>
    <t>Computations from probability distribution</t>
  </si>
  <si>
    <t>E(Profit)</t>
  </si>
  <si>
    <t>CertaintyEquivalent</t>
  </si>
  <si>
    <t>E(R)</t>
  </si>
  <si>
    <t>A*E(Y)+B</t>
  </si>
  <si>
    <t>Stdev(R)</t>
  </si>
  <si>
    <t>|A|*Stdev(Y)</t>
  </si>
  <si>
    <t>Simulation model</t>
  </si>
  <si>
    <t>K</t>
  </si>
  <si>
    <t>Statistics from simulations:</t>
  </si>
  <si>
    <t>E(Profit) est'd from SimTable</t>
  </si>
  <si>
    <t>Stdev(Profit) est'd from SimTable</t>
  </si>
  <si>
    <t>5% cumulative-probability level</t>
  </si>
  <si>
    <t>Sample size</t>
  </si>
  <si>
    <t>Estimated CE</t>
  </si>
  <si>
    <t>95% conf.intl for E(Profit)</t>
  </si>
  <si>
    <t>Sim'd profit</t>
  </si>
  <si>
    <t xml:space="preserve">  FORMULAS</t>
  </si>
  <si>
    <t xml:space="preserve">  E6.  =$E$2/(1+B6)-$E$1</t>
  </si>
  <si>
    <t xml:space="preserve">   E6 copied to E6:E10 and E18</t>
  </si>
  <si>
    <t xml:space="preserve">  B14.  =SUMPRODUCT(B6:B10,$C$6:$C$10)</t>
  </si>
  <si>
    <t xml:space="preserve">  E14.  =SUMPRODUCT(E6:E10,$C$6:$C$10)</t>
  </si>
  <si>
    <t xml:space="preserve">  B18.  =DISCRINV(RAND(),B6:B10,C6:C10)</t>
  </si>
  <si>
    <t xml:space="preserve">  B27.  =E18</t>
  </si>
  <si>
    <t xml:space="preserve">  B21.  =AVERAGE(B28:B428)</t>
  </si>
  <si>
    <t xml:space="preserve">  B24.  =COUNT(B28:B428)</t>
  </si>
  <si>
    <t xml:space="preserve">  E26.  =B21-1.96*B22/(B24^0.5)</t>
  </si>
  <si>
    <t xml:space="preserve">  F26.  =B21+1.96*B22/(B24^0.5)</t>
  </si>
  <si>
    <t xml:space="preserve">  H11.  =RISKTOL(H8,H9,H10)</t>
  </si>
  <si>
    <t xml:space="preserve">  H14.  =CEPR(E6:E10,C6:C10,H11)</t>
  </si>
  <si>
    <t xml:space="preserve">  H24.  =CE(B28:B428,H11)</t>
  </si>
  <si>
    <t xml:space="preserve">  #Competitors</t>
  </si>
  <si>
    <t xml:space="preserve">   Dev't cost</t>
  </si>
  <si>
    <t xml:space="preserve">  Total market</t>
  </si>
  <si>
    <t>value</t>
  </si>
  <si>
    <t>proby</t>
  </si>
  <si>
    <t>SIMULATION MODEL</t>
  </si>
  <si>
    <t>#Competitors</t>
  </si>
  <si>
    <t>Development cost</t>
  </si>
  <si>
    <t>Total market$</t>
  </si>
  <si>
    <t>Ests from SimTable</t>
  </si>
  <si>
    <t>95% ConfIntl for EProfit</t>
  </si>
  <si>
    <t>Stdev(Proft)</t>
  </si>
  <si>
    <t>5%ile Profit</t>
  </si>
  <si>
    <t>P(Profit&lt;0)</t>
  </si>
  <si>
    <t>E7.  =SUM(E3:E6)</t>
  </si>
  <si>
    <t>E7 copied to H7</t>
  </si>
  <si>
    <t>A11.  =DISCRINV(RAND(),A3:A7,B3:B7)</t>
  </si>
  <si>
    <t>D11.  =DISCRINV(RAND(),D3:D6,E3:E6)</t>
  </si>
  <si>
    <t>G11.  =DISCRINV(RAND(),G3:G6,H3:H6)</t>
  </si>
  <si>
    <t>B13.  =G11/(1+A11)-D11</t>
  </si>
  <si>
    <t>D14.  =AVERAGE(B14:B514)</t>
  </si>
  <si>
    <t>H17.  =COUNT(B14:B514)</t>
  </si>
  <si>
    <t>G14.  =D14-1.96*D15/H17^0.5</t>
  </si>
  <si>
    <t>H14.  =D14+1.96*D15/H17^0.5</t>
  </si>
  <si>
    <t>Data in B14:B514 is sorted for chart.</t>
  </si>
  <si>
    <t>Chart plots (A14:A514,B14:B514).</t>
  </si>
  <si>
    <t xml:space="preserve">  B23.  =PERCENTILE.INC(B28:B428,0.05)</t>
  </si>
  <si>
    <t xml:space="preserve">  B22.  =STDEV.S(B28:B428)</t>
  </si>
  <si>
    <t>H12.  =NORM.INV(RAND(),E8,E10)</t>
  </si>
  <si>
    <t>E16.  =STDEV.S(A15:C24)</t>
  </si>
  <si>
    <t xml:space="preserve"> B10.  =STDEV.S(B15:B415)</t>
  </si>
  <si>
    <t>a function called STDEV.P.</t>
  </si>
  <si>
    <t>D17.  =PERCENTRANK.INC(B14:B514,0)</t>
  </si>
  <si>
    <t>D16.  =PERCENTILE.INC(B14:B514,0.05)</t>
  </si>
  <si>
    <t>T.INV(.05,n-1)</t>
  </si>
  <si>
    <t>D15.  =STDEV.S(B14:B514)</t>
  </si>
  <si>
    <t xml:space="preserve">  H18.  =AVERAGEIF(B28:B128,"&lt;="&amp;B23)</t>
  </si>
  <si>
    <t>J17.  =AVERAGEIF(B14:B514,"&lt;="&amp;D16)</t>
  </si>
  <si>
    <t>Cond.tail exp.5%</t>
  </si>
  <si>
    <t>Cond. tail exp.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</si>
</sst>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b/>
      <sz val="10"/>
      <name val="Courier New"/>
      <family val="3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0"/>
      <name val="Courier New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/>
    <xf numFmtId="2" fontId="0" fillId="0" borderId="0" xfId="0" applyNumberFormat="1"/>
    <xf numFmtId="0" fontId="0" fillId="0" borderId="2" xfId="0" applyBorder="1"/>
    <xf numFmtId="2" fontId="0" fillId="0" borderId="2" xfId="0" applyNumberForma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6" xfId="0" applyNumberFormat="1" applyBorder="1"/>
    <xf numFmtId="0" fontId="0" fillId="0" borderId="0" xfId="0" quotePrefix="1" applyAlignment="1">
      <alignment horizontal="right"/>
    </xf>
    <xf numFmtId="0" fontId="0" fillId="0" borderId="0" xfId="0" quotePrefix="1" applyAlignment="1"/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11" xfId="0" quotePrefix="1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4" xfId="0" quotePrefix="1" applyBorder="1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right"/>
    </xf>
    <xf numFmtId="2" fontId="1" fillId="0" borderId="0" xfId="0" applyNumberFormat="1" applyFont="1"/>
    <xf numFmtId="0" fontId="1" fillId="0" borderId="0" xfId="0" quotePrefix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685966623462"/>
          <c:y val="5.7613226607938897E-2"/>
          <c:w val="0.81265110267081198"/>
          <c:h val="0.76131763731919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Figure6!$A$15:$A$415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Figure6!$B$15:$B$415</c:f>
              <c:numCache>
                <c:formatCode>General</c:formatCode>
                <c:ptCount val="40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9A-234B-B6E0-191442349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395232"/>
        <c:axId val="1562313216"/>
      </c:scatterChart>
      <c:valAx>
        <c:axId val="1533395232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41362472939057798"/>
              <c:y val="0.897120313664495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62313216"/>
        <c:crosses val="autoZero"/>
        <c:crossBetween val="midCat"/>
        <c:majorUnit val="0.1"/>
      </c:valAx>
      <c:valAx>
        <c:axId val="1562313216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Competive Entrants (K)</a:t>
                </a:r>
              </a:p>
            </c:rich>
          </c:tx>
          <c:layout>
            <c:manualLayout>
              <c:xMode val="edge"/>
              <c:yMode val="edge"/>
              <c:x val="4.8661800486618001E-2"/>
              <c:y val="7.81893004115225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333952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14429879239899"/>
          <c:y val="5.6224789343331603E-2"/>
          <c:w val="0.80684620658183004"/>
          <c:h val="0.7550185997533109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Figure3!$L$5:$L$14</c:f>
              <c:numCache>
                <c:formatCode>0.00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0.35</c:v>
                </c:pt>
                <c:pt idx="4">
                  <c:v>0.35</c:v>
                </c:pt>
                <c:pt idx="5">
                  <c:v>0.64999999999999991</c:v>
                </c:pt>
                <c:pt idx="6">
                  <c:v>0.64999999999999991</c:v>
                </c:pt>
                <c:pt idx="7">
                  <c:v>0.89999999999999991</c:v>
                </c:pt>
                <c:pt idx="8">
                  <c:v>0.89999999999999991</c:v>
                </c:pt>
                <c:pt idx="9" formatCode="General">
                  <c:v>1</c:v>
                </c:pt>
              </c:numCache>
            </c:numRef>
          </c:xVal>
          <c:yVal>
            <c:numRef>
              <c:f>Figure3!$M$5:$M$14</c:f>
              <c:numCache>
                <c:formatCode>0.00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42-614B-9871-EA455B2E5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989840"/>
        <c:axId val="1604990368"/>
      </c:scatterChart>
      <c:valAx>
        <c:axId val="1604989840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42053808982923602"/>
              <c:y val="0.903612560478132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04990368"/>
        <c:crosses val="autoZero"/>
        <c:crossBetween val="midCat"/>
        <c:majorUnit val="0.1"/>
      </c:valAx>
      <c:valAx>
        <c:axId val="1604990368"/>
        <c:scaling>
          <c:orientation val="minMax"/>
          <c:max val="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competitive entrants (K)</a:t>
                </a:r>
              </a:p>
            </c:rich>
          </c:tx>
          <c:layout>
            <c:manualLayout>
              <c:xMode val="edge"/>
              <c:yMode val="edge"/>
              <c:x val="5.8679706601466999E-2"/>
              <c:y val="8.03212851405622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04989840"/>
        <c:crosses val="autoZero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56177186173701"/>
          <c:y val="6.0344764083584398E-2"/>
          <c:w val="0.81527191645810504"/>
          <c:h val="0.758619891336489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Figure3!$B$5:$B$9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Figure3!$C$5:$C$9</c:f>
              <c:numCache>
                <c:formatCode>0.00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67-1A47-B430-61A290D641E9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Figure3!$M$4:$M$15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 formatCode="General">
                  <c:v>6</c:v>
                </c:pt>
              </c:numCache>
            </c:numRef>
          </c:xVal>
          <c:yVal>
            <c:numRef>
              <c:f>Figure3!$L$4:$L$15</c:f>
              <c:numCache>
                <c:formatCode>0.00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0.35</c:v>
                </c:pt>
                <c:pt idx="5">
                  <c:v>0.35</c:v>
                </c:pt>
                <c:pt idx="6">
                  <c:v>0.64999999999999991</c:v>
                </c:pt>
                <c:pt idx="7">
                  <c:v>0.64999999999999991</c:v>
                </c:pt>
                <c:pt idx="8">
                  <c:v>0.89999999999999991</c:v>
                </c:pt>
                <c:pt idx="9">
                  <c:v>0.89999999999999991</c:v>
                </c:pt>
                <c:pt idx="10" formatCode="General">
                  <c:v>1</c:v>
                </c:pt>
                <c:pt idx="11" formatCode="General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67-1A47-B430-61A290D6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695824"/>
        <c:axId val="1671698368"/>
      </c:scatterChart>
      <c:valAx>
        <c:axId val="1671695824"/>
        <c:scaling>
          <c:orientation val="minMax"/>
          <c:max val="6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Number of competitive entrants (K)</a:t>
                </a:r>
              </a:p>
            </c:rich>
          </c:tx>
          <c:layout>
            <c:manualLayout>
              <c:xMode val="edge"/>
              <c:yMode val="edge"/>
              <c:x val="0.352217136651022"/>
              <c:y val="0.89655070594623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698368"/>
        <c:crosses val="autoZero"/>
        <c:crossBetween val="midCat"/>
      </c:valAx>
      <c:valAx>
        <c:axId val="167169836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4.6798029556650203E-2"/>
              <c:y val="0.31896517784414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69582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91875413583194E-2"/>
          <c:y val="5.6451696263018603E-2"/>
          <c:w val="0.86617901961320098"/>
          <c:h val="0.7661301635695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minus"/>
            <c:errValType val="percentage"/>
            <c:noEndCap val="0"/>
            <c:val val="100"/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Figure4!$E$5:$E$9</c:f>
              <c:numCache>
                <c:formatCode>0.00</c:formatCode>
                <c:ptCount val="5"/>
                <c:pt idx="0">
                  <c:v>24</c:v>
                </c:pt>
                <c:pt idx="1">
                  <c:v>7.3333333333333357</c:v>
                </c:pt>
                <c:pt idx="2">
                  <c:v>-1</c:v>
                </c:pt>
                <c:pt idx="3">
                  <c:v>-6</c:v>
                </c:pt>
                <c:pt idx="4">
                  <c:v>-9.3333333333333321</c:v>
                </c:pt>
              </c:numCache>
            </c:numRef>
          </c:xVal>
          <c:yVal>
            <c:numRef>
              <c:f>Figure4!$C$5:$C$9</c:f>
              <c:numCache>
                <c:formatCode>0.00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0.3</c:v>
                </c:pt>
                <c:pt idx="3">
                  <c:v>0.25</c:v>
                </c:pt>
                <c:pt idx="4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95-5245-9717-A698A7672227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Figure4!$O$4:$O$15</c:f>
              <c:numCache>
                <c:formatCode>General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24</c:v>
                </c:pt>
                <c:pt idx="3">
                  <c:v>7.3333333333333357</c:v>
                </c:pt>
                <c:pt idx="4">
                  <c:v>7.3333333333333357</c:v>
                </c:pt>
                <c:pt idx="5">
                  <c:v>-1</c:v>
                </c:pt>
                <c:pt idx="6">
                  <c:v>-1</c:v>
                </c:pt>
                <c:pt idx="7">
                  <c:v>-6</c:v>
                </c:pt>
                <c:pt idx="8">
                  <c:v>-6</c:v>
                </c:pt>
                <c:pt idx="9">
                  <c:v>-9.3333333333333321</c:v>
                </c:pt>
                <c:pt idx="10">
                  <c:v>-9.3333333333333321</c:v>
                </c:pt>
                <c:pt idx="11">
                  <c:v>-10</c:v>
                </c:pt>
              </c:numCache>
            </c:numRef>
          </c:xVal>
          <c:yVal>
            <c:numRef>
              <c:f>Figure4!$N$4:$N$15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0.65</c:v>
                </c:pt>
                <c:pt idx="5">
                  <c:v>0.65</c:v>
                </c:pt>
                <c:pt idx="6">
                  <c:v>0.35000000000000009</c:v>
                </c:pt>
                <c:pt idx="7">
                  <c:v>0.35000000000000009</c:v>
                </c:pt>
                <c:pt idx="8">
                  <c:v>0.10000000000000009</c:v>
                </c:pt>
                <c:pt idx="9">
                  <c:v>0.10000000000000009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95-5245-9717-A698A7672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21424"/>
        <c:axId val="1671723968"/>
      </c:scatterChart>
      <c:valAx>
        <c:axId val="1671721424"/>
        <c:scaling>
          <c:orientation val="minMax"/>
          <c:max val="25"/>
          <c:min val="-1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Profit in $millions</a:t>
                </a:r>
              </a:p>
            </c:rich>
          </c:tx>
          <c:layout>
            <c:manualLayout>
              <c:xMode val="edge"/>
              <c:yMode val="edge"/>
              <c:x val="0.40145947085081501"/>
              <c:y val="0.903227076454153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23968"/>
        <c:crosses val="autoZero"/>
        <c:crossBetween val="midCat"/>
        <c:majorUnit val="5"/>
      </c:valAx>
      <c:valAx>
        <c:axId val="1671723968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9.7323600973235995E-3"/>
              <c:y val="0.326613538227076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21424"/>
        <c:crosses val="autoZero"/>
        <c:crossBetween val="midCat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408464795699"/>
          <c:y val="5.9321941846000301E-2"/>
          <c:w val="0.83333308400678896"/>
          <c:h val="0.7542361177562889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Figure9!$A$28:$A$428</c:f>
              <c:numCache>
                <c:formatCode>General</c:formatCode>
                <c:ptCount val="4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Figure9!$B$28:$B$428</c:f>
              <c:numCache>
                <c:formatCode>General</c:formatCode>
                <c:ptCount val="401"/>
                <c:pt idx="0">
                  <c:v>-9.3333333333333321</c:v>
                </c:pt>
                <c:pt idx="1">
                  <c:v>-9.3333333333333321</c:v>
                </c:pt>
                <c:pt idx="2">
                  <c:v>-9.3333333333333321</c:v>
                </c:pt>
                <c:pt idx="3">
                  <c:v>-9.3333333333333321</c:v>
                </c:pt>
                <c:pt idx="4">
                  <c:v>-9.3333333333333321</c:v>
                </c:pt>
                <c:pt idx="5">
                  <c:v>-9.3333333333333321</c:v>
                </c:pt>
                <c:pt idx="6">
                  <c:v>-9.3333333333333321</c:v>
                </c:pt>
                <c:pt idx="7">
                  <c:v>-9.3333333333333321</c:v>
                </c:pt>
                <c:pt idx="8">
                  <c:v>-9.3333333333333321</c:v>
                </c:pt>
                <c:pt idx="9">
                  <c:v>-9.3333333333333321</c:v>
                </c:pt>
                <c:pt idx="10">
                  <c:v>-9.3333333333333321</c:v>
                </c:pt>
                <c:pt idx="11">
                  <c:v>-9.3333333333333321</c:v>
                </c:pt>
                <c:pt idx="12">
                  <c:v>-9.3333333333333321</c:v>
                </c:pt>
                <c:pt idx="13">
                  <c:v>-9.3333333333333321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7.3333333333333357</c:v>
                </c:pt>
                <c:pt idx="63">
                  <c:v>7.3333333333333357</c:v>
                </c:pt>
                <c:pt idx="64">
                  <c:v>7.3333333333333357</c:v>
                </c:pt>
                <c:pt idx="65">
                  <c:v>7.3333333333333357</c:v>
                </c:pt>
                <c:pt idx="66">
                  <c:v>7.3333333333333357</c:v>
                </c:pt>
                <c:pt idx="67">
                  <c:v>7.3333333333333357</c:v>
                </c:pt>
                <c:pt idx="68">
                  <c:v>7.3333333333333357</c:v>
                </c:pt>
                <c:pt idx="69">
                  <c:v>7.3333333333333357</c:v>
                </c:pt>
                <c:pt idx="70">
                  <c:v>7.3333333333333357</c:v>
                </c:pt>
                <c:pt idx="71">
                  <c:v>7.3333333333333357</c:v>
                </c:pt>
                <c:pt idx="72">
                  <c:v>7.3333333333333357</c:v>
                </c:pt>
                <c:pt idx="73">
                  <c:v>7.3333333333333357</c:v>
                </c:pt>
                <c:pt idx="74">
                  <c:v>7.3333333333333357</c:v>
                </c:pt>
                <c:pt idx="75">
                  <c:v>7.3333333333333357</c:v>
                </c:pt>
                <c:pt idx="76">
                  <c:v>7.3333333333333357</c:v>
                </c:pt>
                <c:pt idx="77">
                  <c:v>7.3333333333333357</c:v>
                </c:pt>
                <c:pt idx="78">
                  <c:v>7.3333333333333357</c:v>
                </c:pt>
                <c:pt idx="79">
                  <c:v>7.3333333333333357</c:v>
                </c:pt>
                <c:pt idx="80">
                  <c:v>7.3333333333333357</c:v>
                </c:pt>
                <c:pt idx="81">
                  <c:v>7.3333333333333357</c:v>
                </c:pt>
                <c:pt idx="82">
                  <c:v>7.3333333333333357</c:v>
                </c:pt>
                <c:pt idx="83">
                  <c:v>7.3333333333333357</c:v>
                </c:pt>
                <c:pt idx="84">
                  <c:v>7.3333333333333357</c:v>
                </c:pt>
                <c:pt idx="85">
                  <c:v>7.3333333333333357</c:v>
                </c:pt>
                <c:pt idx="86">
                  <c:v>7.3333333333333357</c:v>
                </c:pt>
                <c:pt idx="87">
                  <c:v>7.3333333333333357</c:v>
                </c:pt>
                <c:pt idx="88">
                  <c:v>7.3333333333333357</c:v>
                </c:pt>
                <c:pt idx="89">
                  <c:v>7.3333333333333357</c:v>
                </c:pt>
                <c:pt idx="90">
                  <c:v>7.3333333333333357</c:v>
                </c:pt>
                <c:pt idx="91">
                  <c:v>7.3333333333333357</c:v>
                </c:pt>
                <c:pt idx="92">
                  <c:v>7.3333333333333357</c:v>
                </c:pt>
                <c:pt idx="93">
                  <c:v>7.3333333333333357</c:v>
                </c:pt>
                <c:pt idx="94">
                  <c:v>7.3333333333333357</c:v>
                </c:pt>
                <c:pt idx="95">
                  <c:v>24</c:v>
                </c:pt>
                <c:pt idx="96">
                  <c:v>24</c:v>
                </c:pt>
                <c:pt idx="97">
                  <c:v>24</c:v>
                </c:pt>
                <c:pt idx="98">
                  <c:v>24</c:v>
                </c:pt>
                <c:pt idx="99">
                  <c:v>24</c:v>
                </c:pt>
                <c:pt idx="100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32-074F-A0BC-63FB37B51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44208"/>
        <c:axId val="1671746336"/>
      </c:scatterChart>
      <c:valAx>
        <c:axId val="1671744208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probability</a:t>
                </a:r>
              </a:p>
            </c:rich>
          </c:tx>
          <c:layout>
            <c:manualLayout>
              <c:xMode val="edge"/>
              <c:yMode val="edge"/>
              <c:x val="0.38480372857804501"/>
              <c:y val="0.85593086881088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46336"/>
        <c:crosses val="autoZero"/>
        <c:crossBetween val="midCat"/>
        <c:majorUnit val="0.1"/>
      </c:valAx>
      <c:valAx>
        <c:axId val="1671746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Profit ($millions)</a:t>
                </a:r>
              </a:p>
            </c:rich>
          </c:tx>
          <c:layout>
            <c:manualLayout>
              <c:xMode val="edge"/>
              <c:yMode val="edge"/>
              <c:x val="9.8039215686274508E-3"/>
              <c:y val="0.249999666355264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442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5" footer="0.5"/>
    <c:pageSetup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Cumulative risk profile </a:t>
            </a:r>
          </a:p>
        </c:rich>
      </c:tx>
      <c:layout>
        <c:manualLayout>
          <c:xMode val="edge"/>
          <c:yMode val="edge"/>
          <c:x val="0.32542346189777099"/>
          <c:y val="5.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1345271662101"/>
          <c:y val="7.8431497701404396E-2"/>
          <c:w val="0.83389761495496595"/>
          <c:h val="0.8431386002900970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Figure11!$A$14:$A$514</c:f>
              <c:numCache>
                <c:formatCode>General</c:formatCode>
                <c:ptCount val="501"/>
                <c:pt idx="0">
                  <c:v>0</c:v>
                </c:pt>
                <c:pt idx="1">
                  <c:v>2E-3</c:v>
                </c:pt>
              </c:numCache>
            </c:numRef>
          </c:xVal>
          <c:yVal>
            <c:numRef>
              <c:f>Figure11!$B$14:$B$514</c:f>
              <c:numCache>
                <c:formatCode>General</c:formatCode>
                <c:ptCount val="501"/>
                <c:pt idx="0">
                  <c:v>-22.333333333333336</c:v>
                </c:pt>
                <c:pt idx="1">
                  <c:v>-22.333333333333336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81-B140-BB81-66D38E8A6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1788976"/>
        <c:axId val="1671791104"/>
      </c:scatterChart>
      <c:valAx>
        <c:axId val="1671788976"/>
        <c:scaling>
          <c:orientation val="minMax"/>
          <c:max val="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Cumulative probabilty</a:t>
                </a:r>
              </a:p>
            </c:rich>
          </c:tx>
          <c:layout>
            <c:manualLayout>
              <c:xMode val="edge"/>
              <c:yMode val="edge"/>
              <c:x val="0.38644041105031401"/>
              <c:y val="0.87581853738870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91104"/>
        <c:crosses val="autoZero"/>
        <c:crossBetween val="midCat"/>
        <c:majorUnit val="0.1"/>
      </c:valAx>
      <c:valAx>
        <c:axId val="1671791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Profit ($millions) </a:t>
                </a:r>
              </a:p>
            </c:rich>
          </c:tx>
          <c:layout>
            <c:manualLayout>
              <c:xMode val="edge"/>
              <c:yMode val="edge"/>
              <c:x val="1.6949152542372899E-2"/>
              <c:y val="0.2483665277134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7889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>
      <c:oddHeader>&amp;A</c:oddHeader>
      <c:oddFooter>Page &amp;P</c:oddFooter>
    </c:headerFooter>
    <c:pageMargins b="0.75" l="0.7" r="0.7" t="0.75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47</xdr:row>
      <xdr:rowOff>25400</xdr:rowOff>
    </xdr:from>
    <xdr:to>
      <xdr:col>7</xdr:col>
      <xdr:colOff>647700</xdr:colOff>
      <xdr:row>67</xdr:row>
      <xdr:rowOff>63500</xdr:rowOff>
    </xdr:to>
    <xdr:graphicFrame macro="">
      <xdr:nvGraphicFramePr>
        <xdr:cNvPr id="1095" name="Chart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23</xdr:row>
      <xdr:rowOff>38100</xdr:rowOff>
    </xdr:from>
    <xdr:to>
      <xdr:col>7</xdr:col>
      <xdr:colOff>622300</xdr:colOff>
      <xdr:row>44</xdr:row>
      <xdr:rowOff>0</xdr:rowOff>
    </xdr:to>
    <xdr:graphicFrame macro="">
      <xdr:nvGraphicFramePr>
        <xdr:cNvPr id="1096" name="Chart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1</xdr:row>
      <xdr:rowOff>12700</xdr:rowOff>
    </xdr:from>
    <xdr:to>
      <xdr:col>7</xdr:col>
      <xdr:colOff>596900</xdr:colOff>
      <xdr:row>20</xdr:row>
      <xdr:rowOff>63500</xdr:rowOff>
    </xdr:to>
    <xdr:graphicFrame macro="">
      <xdr:nvGraphicFramePr>
        <xdr:cNvPr id="1097" name="Chart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</xdr:colOff>
      <xdr:row>92</xdr:row>
      <xdr:rowOff>50800</xdr:rowOff>
    </xdr:from>
    <xdr:to>
      <xdr:col>7</xdr:col>
      <xdr:colOff>647700</xdr:colOff>
      <xdr:row>112</xdr:row>
      <xdr:rowOff>165100</xdr:rowOff>
    </xdr:to>
    <xdr:graphicFrame macro="">
      <xdr:nvGraphicFramePr>
        <xdr:cNvPr id="1098" name="Chart 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63500</xdr:colOff>
      <xdr:row>70</xdr:row>
      <xdr:rowOff>38100</xdr:rowOff>
    </xdr:from>
    <xdr:to>
      <xdr:col>7</xdr:col>
      <xdr:colOff>622300</xdr:colOff>
      <xdr:row>89</xdr:row>
      <xdr:rowOff>152400</xdr:rowOff>
    </xdr:to>
    <xdr:graphicFrame macro="">
      <xdr:nvGraphicFramePr>
        <xdr:cNvPr id="1099" name="Chart 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0.28383</cdr:x>
      <cdr:y>0.2429</cdr:y>
    </cdr:from>
    <cdr:to>
      <cdr:x>0.7174</cdr:x>
      <cdr:y>0.3158</cdr:y>
    </cdr:to>
    <cdr:sp macro="" textlink="">
      <cdr:nvSpPr>
        <cdr:cNvPr id="2049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6976" y="716598"/>
          <a:ext cx="2247347" cy="215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Dashed lines: Cumulative Probability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0.51397</cdr:x>
      <cdr:y>0.15302</cdr:y>
    </cdr:from>
    <cdr:to>
      <cdr:x>0.95523</cdr:x>
      <cdr:y>0.22126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9314" y="481594"/>
          <a:ext cx="2298598" cy="215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Dashed lines: Cumulative Probability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32</xdr:row>
      <xdr:rowOff>50800</xdr:rowOff>
    </xdr:from>
    <xdr:to>
      <xdr:col>8</xdr:col>
      <xdr:colOff>660400</xdr:colOff>
      <xdr:row>44</xdr:row>
      <xdr:rowOff>177800</xdr:rowOff>
    </xdr:to>
    <xdr:graphicFrame macro="">
      <xdr:nvGraphicFramePr>
        <xdr:cNvPr id="4111" name="Chart 1">
          <a:extLst>
            <a:ext uri="{FF2B5EF4-FFF2-40B4-BE49-F238E27FC236}">
              <a16:creationId xmlns:a16="http://schemas.microsoft.com/office/drawing/2014/main" id="{00000000-0008-0000-0700-00000F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ations/Microsoft%20Office%202011/Office/Add-Ins/simtool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imtools"/>
    </sheetNames>
    <definedNames>
      <definedName name="ce"/>
      <definedName name="CEPR"/>
      <definedName name="discrINV"/>
      <definedName name="risktol"/>
      <definedName name="STDEVPR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/>
  </sheetViews>
  <sheetFormatPr baseColWidth="10" defaultColWidth="8.6640625" defaultRowHeight="13" x14ac:dyDescent="0.15"/>
  <cols>
    <col min="1" max="16384" width="8.6640625" style="29"/>
  </cols>
  <sheetData>
    <row r="1" spans="1:1" x14ac:dyDescent="0.15">
      <c r="A1" s="30" t="s">
        <v>0</v>
      </c>
    </row>
    <row r="23" spans="1:2" x14ac:dyDescent="0.15">
      <c r="A23" s="30" t="s">
        <v>1</v>
      </c>
      <c r="B23" s="30"/>
    </row>
    <row r="47" spans="1:2" x14ac:dyDescent="0.15">
      <c r="A47" s="30" t="s">
        <v>2</v>
      </c>
      <c r="B47" s="30"/>
    </row>
    <row r="58" spans="9:9" x14ac:dyDescent="0.15">
      <c r="I58" s="29" t="s">
        <v>3</v>
      </c>
    </row>
    <row r="70" spans="1:3" x14ac:dyDescent="0.15">
      <c r="A70" s="30" t="s">
        <v>4</v>
      </c>
      <c r="C70" s="30"/>
    </row>
    <row r="92" spans="1:1" x14ac:dyDescent="0.15">
      <c r="A92" s="29" t="s">
        <v>5</v>
      </c>
    </row>
  </sheetData>
  <phoneticPr fontId="0" type="noConversion"/>
  <pageMargins left="1" right="1" top="0.75" bottom="0.75" header="0.5" footer="0.5"/>
  <pageSetup orientation="portrait" horizontalDpi="1200" verticalDpi="12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200" zoomScaleNormal="200" zoomScalePageLayoutView="200" workbookViewId="0"/>
  </sheetViews>
  <sheetFormatPr baseColWidth="10" defaultColWidth="8.6640625" defaultRowHeight="14" x14ac:dyDescent="0.2"/>
  <sheetData>
    <row r="1" spans="1:13" x14ac:dyDescent="0.2">
      <c r="A1" s="1" t="s">
        <v>6</v>
      </c>
    </row>
    <row r="2" spans="1:13" x14ac:dyDescent="0.2">
      <c r="B2" s="1" t="s">
        <v>7</v>
      </c>
    </row>
    <row r="3" spans="1:13" x14ac:dyDescent="0.2">
      <c r="B3" s="1" t="s">
        <v>8</v>
      </c>
      <c r="L3" t="s">
        <v>9</v>
      </c>
    </row>
    <row r="4" spans="1:13" x14ac:dyDescent="0.2">
      <c r="A4" s="1" t="s">
        <v>10</v>
      </c>
      <c r="B4" s="1" t="s">
        <v>11</v>
      </c>
      <c r="C4" s="1" t="s">
        <v>12</v>
      </c>
      <c r="D4" s="1"/>
      <c r="G4" t="s">
        <v>13</v>
      </c>
      <c r="L4">
        <v>0</v>
      </c>
      <c r="M4">
        <v>0</v>
      </c>
    </row>
    <row r="5" spans="1:13" x14ac:dyDescent="0.2">
      <c r="A5" s="3">
        <v>0</v>
      </c>
      <c r="B5">
        <v>1</v>
      </c>
      <c r="C5" s="3">
        <v>0.1</v>
      </c>
      <c r="G5">
        <f ca="1">IF($A$13&lt;A6,B5,0)</f>
        <v>0</v>
      </c>
      <c r="L5" s="3">
        <f>A5</f>
        <v>0</v>
      </c>
      <c r="M5" s="3">
        <f>B5</f>
        <v>1</v>
      </c>
    </row>
    <row r="6" spans="1:13" x14ac:dyDescent="0.2">
      <c r="A6" s="3">
        <f>A5+C5</f>
        <v>0.1</v>
      </c>
      <c r="B6">
        <v>2</v>
      </c>
      <c r="C6" s="3">
        <v>0.25</v>
      </c>
      <c r="G6">
        <f ca="1">IF(AND(A6&lt;=$A$13,$A$13&lt;A7),B6,0)</f>
        <v>0</v>
      </c>
      <c r="L6" s="3">
        <f>A6</f>
        <v>0.1</v>
      </c>
      <c r="M6" s="3">
        <f>M5</f>
        <v>1</v>
      </c>
    </row>
    <row r="7" spans="1:13" x14ac:dyDescent="0.2">
      <c r="A7" s="3">
        <f>A6+C6</f>
        <v>0.35</v>
      </c>
      <c r="B7">
        <v>3</v>
      </c>
      <c r="C7" s="3">
        <v>0.3</v>
      </c>
      <c r="G7">
        <f ca="1">IF(AND(A7&lt;=$A$13,$A$13&lt;A8),B7,0)</f>
        <v>0</v>
      </c>
      <c r="L7" s="3">
        <f>L6</f>
        <v>0.1</v>
      </c>
      <c r="M7" s="3">
        <f>B6</f>
        <v>2</v>
      </c>
    </row>
    <row r="8" spans="1:13" x14ac:dyDescent="0.2">
      <c r="A8" s="3">
        <f>A7+C7</f>
        <v>0.64999999999999991</v>
      </c>
      <c r="B8">
        <v>4</v>
      </c>
      <c r="C8" s="3">
        <v>0.25</v>
      </c>
      <c r="G8">
        <f ca="1">IF(AND(A8&lt;=$A$13,$A$13&lt;A9),B8,0)</f>
        <v>4</v>
      </c>
      <c r="L8" s="3">
        <f>A7</f>
        <v>0.35</v>
      </c>
      <c r="M8" s="3">
        <f>M7</f>
        <v>2</v>
      </c>
    </row>
    <row r="9" spans="1:13" ht="15" thickBot="1" x14ac:dyDescent="0.25">
      <c r="A9" s="3">
        <f>A8+C8</f>
        <v>0.89999999999999991</v>
      </c>
      <c r="B9">
        <v>5</v>
      </c>
      <c r="C9" s="3">
        <v>0.1</v>
      </c>
      <c r="G9">
        <f ca="1">IF(A9&lt;=$A$13,B9,0)</f>
        <v>0</v>
      </c>
      <c r="L9" s="3">
        <f>L8</f>
        <v>0.35</v>
      </c>
      <c r="M9" s="3">
        <f>B7</f>
        <v>3</v>
      </c>
    </row>
    <row r="10" spans="1:13" x14ac:dyDescent="0.2">
      <c r="C10" s="2">
        <f>SUM(C5:C9)</f>
        <v>0.99999999999999989</v>
      </c>
      <c r="L10" s="3">
        <f>A8</f>
        <v>0.64999999999999991</v>
      </c>
      <c r="M10" s="3">
        <f>M9</f>
        <v>3</v>
      </c>
    </row>
    <row r="11" spans="1:13" x14ac:dyDescent="0.2">
      <c r="C11" s="6"/>
      <c r="L11" s="3">
        <f>L10</f>
        <v>0.64999999999999991</v>
      </c>
      <c r="M11" s="3">
        <f>B8</f>
        <v>4</v>
      </c>
    </row>
    <row r="12" spans="1:13" x14ac:dyDescent="0.2">
      <c r="B12" t="s">
        <v>14</v>
      </c>
      <c r="L12" s="3">
        <f>A9</f>
        <v>0.89999999999999991</v>
      </c>
      <c r="M12" s="3">
        <f>M11</f>
        <v>4</v>
      </c>
    </row>
    <row r="13" spans="1:13" x14ac:dyDescent="0.2">
      <c r="A13">
        <f ca="1">RAND()</f>
        <v>0.88389753151684214</v>
      </c>
      <c r="B13">
        <f ca="1">SUM(G5:G9)</f>
        <v>4</v>
      </c>
      <c r="L13" s="3">
        <f>L12</f>
        <v>0.89999999999999991</v>
      </c>
      <c r="M13" s="3">
        <f>B9</f>
        <v>5</v>
      </c>
    </row>
    <row r="14" spans="1:13" x14ac:dyDescent="0.2">
      <c r="B14" t="e">
        <f ca="1">[1]!discrINV(A13,B5:B9,C5:C9)</f>
        <v>#NAME?</v>
      </c>
      <c r="L14">
        <v>1</v>
      </c>
      <c r="M14" s="3">
        <f>M13</f>
        <v>5</v>
      </c>
    </row>
    <row r="15" spans="1:13" x14ac:dyDescent="0.2">
      <c r="B15">
        <f ca="1">IF(A13&lt;A6,B5,IF(A13&lt;A7,B6,IF(A13&lt;A8,B7,IF(A13&lt;A9,B8,B9))))</f>
        <v>4</v>
      </c>
      <c r="L15">
        <v>1</v>
      </c>
      <c r="M15">
        <v>6</v>
      </c>
    </row>
    <row r="16" spans="1:13" x14ac:dyDescent="0.2">
      <c r="B16">
        <f ca="1">VLOOKUP(A13,A5:B9,2)</f>
        <v>4</v>
      </c>
    </row>
    <row r="17" spans="1:1" x14ac:dyDescent="0.2">
      <c r="A17" t="s">
        <v>15</v>
      </c>
    </row>
    <row r="18" spans="1:1" x14ac:dyDescent="0.2">
      <c r="A18" t="s">
        <v>16</v>
      </c>
    </row>
    <row r="19" spans="1:1" x14ac:dyDescent="0.2">
      <c r="A19" t="s">
        <v>17</v>
      </c>
    </row>
    <row r="20" spans="1:1" x14ac:dyDescent="0.2">
      <c r="A20" t="s">
        <v>18</v>
      </c>
    </row>
    <row r="21" spans="1:1" x14ac:dyDescent="0.2">
      <c r="A21" t="s">
        <v>19</v>
      </c>
    </row>
    <row r="22" spans="1:1" x14ac:dyDescent="0.2">
      <c r="A22" t="s">
        <v>20</v>
      </c>
    </row>
    <row r="23" spans="1:1" x14ac:dyDescent="0.2">
      <c r="A23" t="s">
        <v>21</v>
      </c>
    </row>
    <row r="24" spans="1:1" x14ac:dyDescent="0.2">
      <c r="A24" s="1" t="s">
        <v>22</v>
      </c>
    </row>
    <row r="25" spans="1:1" x14ac:dyDescent="0.2">
      <c r="A25" t="s">
        <v>23</v>
      </c>
    </row>
    <row r="26" spans="1:1" x14ac:dyDescent="0.2">
      <c r="A26" t="s">
        <v>24</v>
      </c>
    </row>
    <row r="27" spans="1:1" x14ac:dyDescent="0.2">
      <c r="A27" t="s">
        <v>25</v>
      </c>
    </row>
    <row r="28" spans="1:1" x14ac:dyDescent="0.2">
      <c r="A28" t="s">
        <v>26</v>
      </c>
    </row>
    <row r="29" spans="1:1" x14ac:dyDescent="0.2">
      <c r="A29" t="s">
        <v>27</v>
      </c>
    </row>
  </sheetData>
  <phoneticPr fontId="0" type="noConversion"/>
  <printOptions headings="1" gridLines="1" gridLinesSet="0"/>
  <pageMargins left="1" right="1" top="0.75" bottom="0.75" header="0.5" footer="0.5"/>
  <pageSetup orientation="portrait"/>
  <headerFooter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200" zoomScaleNormal="200" zoomScalePageLayoutView="200" workbookViewId="0"/>
  </sheetViews>
  <sheetFormatPr baseColWidth="10" defaultColWidth="8.83203125" defaultRowHeight="14" x14ac:dyDescent="0.2"/>
  <sheetData>
    <row r="1" spans="1:15" x14ac:dyDescent="0.2">
      <c r="A1" s="1" t="s">
        <v>28</v>
      </c>
      <c r="E1">
        <v>26</v>
      </c>
      <c r="F1" t="s">
        <v>29</v>
      </c>
    </row>
    <row r="2" spans="1:15" x14ac:dyDescent="0.2">
      <c r="E2">
        <v>100</v>
      </c>
      <c r="F2" t="s">
        <v>30</v>
      </c>
    </row>
    <row r="3" spans="1:15" x14ac:dyDescent="0.2">
      <c r="A3" s="1" t="s">
        <v>31</v>
      </c>
      <c r="K3" s="1" t="s">
        <v>32</v>
      </c>
    </row>
    <row r="4" spans="1:15" x14ac:dyDescent="0.2">
      <c r="B4" s="1" t="s">
        <v>11</v>
      </c>
      <c r="C4" s="1" t="s">
        <v>12</v>
      </c>
      <c r="E4" t="s">
        <v>33</v>
      </c>
      <c r="L4">
        <v>0</v>
      </c>
      <c r="M4">
        <v>0</v>
      </c>
      <c r="N4">
        <f>1-L4</f>
        <v>1</v>
      </c>
      <c r="O4">
        <v>25</v>
      </c>
    </row>
    <row r="5" spans="1:15" x14ac:dyDescent="0.2">
      <c r="B5">
        <v>1</v>
      </c>
      <c r="C5" s="3">
        <v>0.1</v>
      </c>
      <c r="E5" s="3">
        <f>$E$2/(1+B5)-$E$1</f>
        <v>24</v>
      </c>
      <c r="K5" s="3">
        <v>0</v>
      </c>
      <c r="L5" s="3">
        <f>K5</f>
        <v>0</v>
      </c>
      <c r="M5" s="3">
        <f>B5</f>
        <v>1</v>
      </c>
      <c r="N5">
        <f t="shared" ref="N5:N15" si="0">1-L5</f>
        <v>1</v>
      </c>
      <c r="O5">
        <f t="shared" ref="O5:O14" si="1">100/(1+M5)-26</f>
        <v>24</v>
      </c>
    </row>
    <row r="6" spans="1:15" x14ac:dyDescent="0.2">
      <c r="B6">
        <v>2</v>
      </c>
      <c r="C6" s="3">
        <v>0.25</v>
      </c>
      <c r="E6" s="3">
        <f>$E$2/(1+B6)-$E$1</f>
        <v>7.3333333333333357</v>
      </c>
      <c r="K6" s="3">
        <f>K5+C5</f>
        <v>0.1</v>
      </c>
      <c r="L6" s="3">
        <f>K6</f>
        <v>0.1</v>
      </c>
      <c r="M6" s="3">
        <f>M5</f>
        <v>1</v>
      </c>
      <c r="N6">
        <f t="shared" si="0"/>
        <v>0.9</v>
      </c>
      <c r="O6">
        <f t="shared" si="1"/>
        <v>24</v>
      </c>
    </row>
    <row r="7" spans="1:15" x14ac:dyDescent="0.2">
      <c r="B7">
        <v>3</v>
      </c>
      <c r="C7" s="3">
        <v>0.3</v>
      </c>
      <c r="E7" s="3">
        <f>$E$2/(1+B7)-$E$1</f>
        <v>-1</v>
      </c>
      <c r="K7" s="3">
        <f>K6+C6</f>
        <v>0.35</v>
      </c>
      <c r="L7" s="3">
        <f>L6</f>
        <v>0.1</v>
      </c>
      <c r="M7" s="3">
        <f>B6</f>
        <v>2</v>
      </c>
      <c r="N7">
        <f t="shared" si="0"/>
        <v>0.9</v>
      </c>
      <c r="O7">
        <f t="shared" si="1"/>
        <v>7.3333333333333357</v>
      </c>
    </row>
    <row r="8" spans="1:15" x14ac:dyDescent="0.2">
      <c r="B8">
        <v>4</v>
      </c>
      <c r="C8" s="3">
        <v>0.25</v>
      </c>
      <c r="E8" s="3">
        <f>$E$2/(1+B8)-$E$1</f>
        <v>-6</v>
      </c>
      <c r="K8" s="3">
        <f>K7+C7</f>
        <v>0.64999999999999991</v>
      </c>
      <c r="L8" s="3">
        <f>K7</f>
        <v>0.35</v>
      </c>
      <c r="M8" s="3">
        <f>M7</f>
        <v>2</v>
      </c>
      <c r="N8">
        <f t="shared" si="0"/>
        <v>0.65</v>
      </c>
      <c r="O8">
        <f t="shared" si="1"/>
        <v>7.3333333333333357</v>
      </c>
    </row>
    <row r="9" spans="1:15" ht="15" thickBot="1" x14ac:dyDescent="0.25">
      <c r="B9">
        <v>5</v>
      </c>
      <c r="C9" s="3">
        <v>0.1</v>
      </c>
      <c r="E9" s="3">
        <f>$E$2/(1+B9)-$E$1</f>
        <v>-9.3333333333333321</v>
      </c>
      <c r="K9" s="3">
        <f>K8+C8</f>
        <v>0.89999999999999991</v>
      </c>
      <c r="L9" s="3">
        <f>L8</f>
        <v>0.35</v>
      </c>
      <c r="M9" s="3">
        <f>B7</f>
        <v>3</v>
      </c>
      <c r="N9">
        <f t="shared" si="0"/>
        <v>0.65</v>
      </c>
      <c r="O9">
        <f t="shared" si="1"/>
        <v>-1</v>
      </c>
    </row>
    <row r="10" spans="1:15" x14ac:dyDescent="0.2">
      <c r="C10" s="2">
        <f>SUM(C5:C9)</f>
        <v>0.99999999999999989</v>
      </c>
      <c r="D10" t="s">
        <v>34</v>
      </c>
      <c r="L10" s="3">
        <f>K8</f>
        <v>0.64999999999999991</v>
      </c>
      <c r="M10" s="3">
        <f>M9</f>
        <v>3</v>
      </c>
      <c r="N10">
        <f t="shared" si="0"/>
        <v>0.35000000000000009</v>
      </c>
      <c r="O10">
        <f t="shared" si="1"/>
        <v>-1</v>
      </c>
    </row>
    <row r="11" spans="1:15" ht="15" thickBot="1" x14ac:dyDescent="0.25">
      <c r="L11" s="3">
        <f>L10</f>
        <v>0.64999999999999991</v>
      </c>
      <c r="M11" s="3">
        <f>B8</f>
        <v>4</v>
      </c>
      <c r="N11">
        <f t="shared" si="0"/>
        <v>0.35000000000000009</v>
      </c>
      <c r="O11">
        <f t="shared" si="1"/>
        <v>-6</v>
      </c>
    </row>
    <row r="12" spans="1:15" x14ac:dyDescent="0.2">
      <c r="B12" s="15" t="s">
        <v>35</v>
      </c>
      <c r="C12" s="2"/>
      <c r="D12" s="2"/>
      <c r="E12" s="16"/>
      <c r="L12" s="3">
        <f>K9</f>
        <v>0.89999999999999991</v>
      </c>
      <c r="M12" s="3">
        <f>M11</f>
        <v>4</v>
      </c>
      <c r="N12">
        <f t="shared" si="0"/>
        <v>0.10000000000000009</v>
      </c>
      <c r="O12">
        <f t="shared" si="1"/>
        <v>-6</v>
      </c>
    </row>
    <row r="13" spans="1:15" x14ac:dyDescent="0.2">
      <c r="B13" s="14" t="s">
        <v>36</v>
      </c>
      <c r="C13" s="6"/>
      <c r="D13" s="6"/>
      <c r="E13" s="17" t="s">
        <v>37</v>
      </c>
      <c r="L13" s="3">
        <f>L12</f>
        <v>0.89999999999999991</v>
      </c>
      <c r="M13" s="3">
        <f>B9</f>
        <v>5</v>
      </c>
      <c r="N13">
        <f t="shared" si="0"/>
        <v>0.10000000000000009</v>
      </c>
      <c r="O13">
        <f t="shared" si="1"/>
        <v>-9.3333333333333321</v>
      </c>
    </row>
    <row r="14" spans="1:15" ht="15" thickBot="1" x14ac:dyDescent="0.25">
      <c r="B14" s="18" t="e">
        <f ca="1">[1]!discrINV(RAND(),B5:B9,C5:C9)</f>
        <v>#NAME?</v>
      </c>
      <c r="C14" s="19"/>
      <c r="D14" s="19"/>
      <c r="E14" s="20" t="e">
        <f ca="1">$E$2/(1+B14)-$E$1</f>
        <v>#NAME?</v>
      </c>
      <c r="L14">
        <v>1</v>
      </c>
      <c r="M14" s="3">
        <f>M13</f>
        <v>5</v>
      </c>
      <c r="N14">
        <f t="shared" si="0"/>
        <v>0</v>
      </c>
      <c r="O14">
        <f t="shared" si="1"/>
        <v>-9.3333333333333321</v>
      </c>
    </row>
    <row r="15" spans="1:15" ht="15" thickBot="1" x14ac:dyDescent="0.25">
      <c r="L15">
        <v>1</v>
      </c>
      <c r="M15">
        <v>6</v>
      </c>
      <c r="N15">
        <f t="shared" si="0"/>
        <v>0</v>
      </c>
      <c r="O15">
        <v>-10</v>
      </c>
    </row>
    <row r="16" spans="1:15" x14ac:dyDescent="0.2">
      <c r="B16" s="25" t="s">
        <v>38</v>
      </c>
      <c r="C16" s="2"/>
      <c r="D16" s="2"/>
      <c r="E16" s="16"/>
    </row>
    <row r="17" spans="1:5" x14ac:dyDescent="0.2">
      <c r="B17" s="14" t="s">
        <v>36</v>
      </c>
      <c r="C17" s="6"/>
      <c r="D17" s="6"/>
      <c r="E17" s="17" t="s">
        <v>37</v>
      </c>
    </row>
    <row r="18" spans="1:5" ht="15" thickBot="1" x14ac:dyDescent="0.25">
      <c r="B18" s="18" t="e">
        <f ca="1">[1]!discrINV(RAND(),B5:B9,$C$5:$C$9)</f>
        <v>#NAME?</v>
      </c>
      <c r="C18" s="19"/>
      <c r="D18" s="19"/>
      <c r="E18" s="20" t="e">
        <f ca="1">[1]!discrINV(RAND(),E5:E9,$C$5:$C$9)</f>
        <v>#NAME?</v>
      </c>
    </row>
    <row r="20" spans="1:5" x14ac:dyDescent="0.2">
      <c r="A20" t="s">
        <v>39</v>
      </c>
    </row>
    <row r="21" spans="1:5" x14ac:dyDescent="0.2">
      <c r="A21" t="s">
        <v>40</v>
      </c>
    </row>
    <row r="22" spans="1:5" x14ac:dyDescent="0.2">
      <c r="A22" t="s">
        <v>41</v>
      </c>
    </row>
    <row r="23" spans="1:5" x14ac:dyDescent="0.2">
      <c r="A23" t="s">
        <v>18</v>
      </c>
    </row>
    <row r="24" spans="1:5" x14ac:dyDescent="0.2">
      <c r="A24" s="1" t="s">
        <v>42</v>
      </c>
    </row>
    <row r="25" spans="1:5" x14ac:dyDescent="0.2">
      <c r="A25" t="s">
        <v>43</v>
      </c>
    </row>
    <row r="26" spans="1:5" x14ac:dyDescent="0.2">
      <c r="A26" t="s">
        <v>44</v>
      </c>
    </row>
    <row r="27" spans="1:5" x14ac:dyDescent="0.2">
      <c r="A27" t="s">
        <v>45</v>
      </c>
    </row>
  </sheetData>
  <phoneticPr fontId="0" type="noConversion"/>
  <printOptions headings="1" gridLines="1" gridLinesSet="0"/>
  <pageMargins left="0.7" right="0.7" top="0.75" bottom="0.75" header="0.5" footer="0.5"/>
  <pageSetup orientation="portrait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200" zoomScaleNormal="200" zoomScalePageLayoutView="200" workbookViewId="0"/>
  </sheetViews>
  <sheetFormatPr baseColWidth="10" defaultColWidth="8.83203125" defaultRowHeight="14" x14ac:dyDescent="0.2"/>
  <sheetData>
    <row r="1" spans="1:7" x14ac:dyDescent="0.2">
      <c r="A1" s="1" t="s">
        <v>46</v>
      </c>
    </row>
    <row r="2" spans="1:7" x14ac:dyDescent="0.2">
      <c r="B2" s="1" t="s">
        <v>7</v>
      </c>
    </row>
    <row r="3" spans="1:7" x14ac:dyDescent="0.2">
      <c r="B3" s="1" t="s">
        <v>8</v>
      </c>
    </row>
    <row r="4" spans="1:7" x14ac:dyDescent="0.2">
      <c r="A4" s="1"/>
      <c r="B4" s="1" t="s">
        <v>11</v>
      </c>
      <c r="C4" s="1" t="s">
        <v>12</v>
      </c>
      <c r="D4" s="1" t="s">
        <v>47</v>
      </c>
      <c r="F4" t="s">
        <v>48</v>
      </c>
    </row>
    <row r="5" spans="1:7" x14ac:dyDescent="0.2">
      <c r="A5" s="3"/>
      <c r="B5">
        <v>1</v>
      </c>
      <c r="C5">
        <v>0.1</v>
      </c>
      <c r="D5">
        <f>(B5-$B$13)^2</f>
        <v>4</v>
      </c>
      <c r="F5">
        <f>100/(1+B5)-26</f>
        <v>24</v>
      </c>
    </row>
    <row r="6" spans="1:7" x14ac:dyDescent="0.2">
      <c r="A6" s="3"/>
      <c r="B6">
        <v>2</v>
      </c>
      <c r="C6">
        <v>0.25</v>
      </c>
      <c r="D6">
        <f>(B6-$B$13)^2</f>
        <v>1</v>
      </c>
      <c r="F6">
        <f>100/(1+B6)-26</f>
        <v>7.3333333333333357</v>
      </c>
    </row>
    <row r="7" spans="1:7" x14ac:dyDescent="0.2">
      <c r="A7" s="3"/>
      <c r="B7">
        <v>3</v>
      </c>
      <c r="C7">
        <v>0.3</v>
      </c>
      <c r="D7">
        <f>(B7-$B$13)^2</f>
        <v>0</v>
      </c>
      <c r="F7">
        <f>100/(1+B7)-26</f>
        <v>-1</v>
      </c>
    </row>
    <row r="8" spans="1:7" x14ac:dyDescent="0.2">
      <c r="A8" s="3"/>
      <c r="B8">
        <v>4</v>
      </c>
      <c r="C8">
        <v>0.25</v>
      </c>
      <c r="D8">
        <f>(B8-$B$13)^2</f>
        <v>1</v>
      </c>
      <c r="F8">
        <f>100/(1+B8)-26</f>
        <v>-6</v>
      </c>
    </row>
    <row r="9" spans="1:7" ht="15" thickBot="1" x14ac:dyDescent="0.25">
      <c r="A9" s="3"/>
      <c r="B9">
        <v>5</v>
      </c>
      <c r="C9">
        <v>0.1</v>
      </c>
      <c r="D9">
        <f>(B9-$B$13)^2</f>
        <v>4</v>
      </c>
      <c r="F9">
        <f>100/(1+B9)-26</f>
        <v>-9.3333333333333321</v>
      </c>
    </row>
    <row r="10" spans="1:7" x14ac:dyDescent="0.2">
      <c r="C10" s="2">
        <f>SUM(C5:C9)</f>
        <v>0.99999999999999989</v>
      </c>
    </row>
    <row r="12" spans="1:7" x14ac:dyDescent="0.2">
      <c r="B12" s="21" t="s">
        <v>49</v>
      </c>
      <c r="C12" t="s">
        <v>50</v>
      </c>
      <c r="F12" t="s">
        <v>51</v>
      </c>
      <c r="G12" s="1" t="s">
        <v>52</v>
      </c>
    </row>
    <row r="13" spans="1:7" x14ac:dyDescent="0.2">
      <c r="B13">
        <f>SUMPRODUCT(B5:B9,$C$5:$C$9)</f>
        <v>3</v>
      </c>
      <c r="C13" t="e">
        <f ca="1">[1]!STDEVPR(B5:B9,$C$5:$C$9)</f>
        <v>#NAME?</v>
      </c>
      <c r="D13">
        <f>SUMPRODUCT(D5:D9,C5:C9)^0.5</f>
        <v>1.1401754250991381</v>
      </c>
      <c r="F13">
        <f>SUMPRODUCT(F5:F9,$C$5:$C$9)</f>
        <v>1.5000000000000013</v>
      </c>
      <c r="G13" t="e">
        <f ca="1">[1]!STDEVPR(F5:F9,$C$5:$C$9)</f>
        <v>#NAME?</v>
      </c>
    </row>
    <row r="15" spans="1:7" x14ac:dyDescent="0.2">
      <c r="A15" t="s">
        <v>53</v>
      </c>
    </row>
    <row r="16" spans="1:7" x14ac:dyDescent="0.2">
      <c r="A16" t="s">
        <v>54</v>
      </c>
      <c r="D16" s="1"/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18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</sheetData>
  <phoneticPr fontId="0" type="noConversion"/>
  <printOptions headings="1" gridLines="1" gridLinesSet="0"/>
  <pageMargins left="0.7" right="0.7" top="0.75" bottom="0.75" header="0.5" footer="0.5"/>
  <pageSetup orientation="portrait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="200" zoomScaleNormal="200" zoomScalePageLayoutView="200" workbookViewId="0">
      <selection activeCell="B10" sqref="B10"/>
    </sheetView>
  </sheetViews>
  <sheetFormatPr baseColWidth="10" defaultColWidth="9.1640625" defaultRowHeight="14" x14ac:dyDescent="0.2"/>
  <cols>
    <col min="1" max="2" width="9.1640625" customWidth="1"/>
    <col min="3" max="3" width="5.6640625" customWidth="1"/>
  </cols>
  <sheetData>
    <row r="1" spans="1:9" x14ac:dyDescent="0.2">
      <c r="A1" t="s">
        <v>63</v>
      </c>
    </row>
    <row r="2" spans="1:9" x14ac:dyDescent="0.2">
      <c r="A2" s="1" t="s">
        <v>11</v>
      </c>
      <c r="B2" s="1" t="s">
        <v>12</v>
      </c>
    </row>
    <row r="3" spans="1:9" x14ac:dyDescent="0.2">
      <c r="A3">
        <v>1</v>
      </c>
      <c r="B3">
        <v>0.1</v>
      </c>
    </row>
    <row r="4" spans="1:9" x14ac:dyDescent="0.2">
      <c r="A4">
        <v>2</v>
      </c>
      <c r="B4">
        <v>0.25</v>
      </c>
    </row>
    <row r="5" spans="1:9" x14ac:dyDescent="0.2">
      <c r="A5">
        <v>3</v>
      </c>
      <c r="B5">
        <v>0.3</v>
      </c>
    </row>
    <row r="6" spans="1:9" x14ac:dyDescent="0.2">
      <c r="A6">
        <v>4</v>
      </c>
      <c r="B6">
        <v>0.25</v>
      </c>
      <c r="D6" s="23" t="s">
        <v>64</v>
      </c>
      <c r="E6" s="23" t="s">
        <v>50</v>
      </c>
    </row>
    <row r="7" spans="1:9" x14ac:dyDescent="0.2">
      <c r="A7">
        <v>5</v>
      </c>
      <c r="B7">
        <v>0.1</v>
      </c>
      <c r="D7" s="22">
        <f>SUMPRODUCT(A3:A7,B3:B7)</f>
        <v>3</v>
      </c>
      <c r="E7" s="22" t="e">
        <f ca="1">[1]!STDEVPR(A3:A7,B3:B7)</f>
        <v>#NAME?</v>
      </c>
    </row>
    <row r="9" spans="1:9" x14ac:dyDescent="0.2">
      <c r="B9">
        <f>AVERAGE(B15:B415)</f>
        <v>2.9603960396039604</v>
      </c>
      <c r="C9" t="s">
        <v>65</v>
      </c>
    </row>
    <row r="10" spans="1:9" x14ac:dyDescent="0.2">
      <c r="B10">
        <f>_xlfn.STDEV.S(B15:B415)</f>
        <v>1.076297283088719</v>
      </c>
      <c r="C10" t="s">
        <v>66</v>
      </c>
    </row>
    <row r="11" spans="1:9" x14ac:dyDescent="0.2">
      <c r="B11">
        <f>COUNT(B15:B415)</f>
        <v>101</v>
      </c>
      <c r="C11" t="s">
        <v>67</v>
      </c>
    </row>
    <row r="13" spans="1:9" x14ac:dyDescent="0.2">
      <c r="B13" s="23" t="s">
        <v>68</v>
      </c>
      <c r="D13">
        <f>(SUM(D15:D415)/(B11-1))^0.5</f>
        <v>1.0762972830887192</v>
      </c>
      <c r="E13" t="s">
        <v>69</v>
      </c>
      <c r="I13" s="1" t="s">
        <v>70</v>
      </c>
    </row>
    <row r="14" spans="1:9" x14ac:dyDescent="0.2">
      <c r="A14" s="4" t="s">
        <v>71</v>
      </c>
      <c r="B14" s="4" t="e">
        <f ca="1">[1]!discrINV(RAND(),A3:A7,B3:B7)</f>
        <v>#NAME?</v>
      </c>
      <c r="D14" t="s">
        <v>72</v>
      </c>
      <c r="I14" s="1" t="s">
        <v>73</v>
      </c>
    </row>
    <row r="15" spans="1:9" x14ac:dyDescent="0.2">
      <c r="A15">
        <v>0</v>
      </c>
      <c r="B15">
        <v>1</v>
      </c>
      <c r="D15">
        <f>(B15-$B$9)^2</f>
        <v>3.8431526320948923</v>
      </c>
      <c r="I15" s="1" t="s">
        <v>74</v>
      </c>
    </row>
    <row r="16" spans="1:9" x14ac:dyDescent="0.2">
      <c r="A16">
        <v>0.01</v>
      </c>
      <c r="B16">
        <v>1</v>
      </c>
      <c r="D16">
        <f t="shared" ref="D16:D31" si="0">(B16-$B$9)^2</f>
        <v>3.8431526320948923</v>
      </c>
      <c r="E16" s="1" t="s">
        <v>75</v>
      </c>
      <c r="I16" s="1" t="s">
        <v>76</v>
      </c>
    </row>
    <row r="17" spans="1:10" x14ac:dyDescent="0.2">
      <c r="A17">
        <v>0.02</v>
      </c>
      <c r="B17">
        <v>1</v>
      </c>
      <c r="D17">
        <f t="shared" si="0"/>
        <v>3.8431526320948923</v>
      </c>
      <c r="E17" s="1" t="s">
        <v>77</v>
      </c>
      <c r="I17" s="1" t="s">
        <v>78</v>
      </c>
    </row>
    <row r="18" spans="1:10" x14ac:dyDescent="0.2">
      <c r="A18">
        <v>0.03</v>
      </c>
      <c r="B18">
        <v>1</v>
      </c>
      <c r="D18">
        <f t="shared" si="0"/>
        <v>3.8431526320948923</v>
      </c>
      <c r="E18" s="1" t="s">
        <v>79</v>
      </c>
      <c r="I18" s="1" t="s">
        <v>80</v>
      </c>
    </row>
    <row r="19" spans="1:10" x14ac:dyDescent="0.2">
      <c r="A19">
        <v>0.04</v>
      </c>
      <c r="B19">
        <v>1</v>
      </c>
      <c r="D19">
        <f t="shared" si="0"/>
        <v>3.8431526320948923</v>
      </c>
      <c r="E19" s="1" t="s">
        <v>81</v>
      </c>
      <c r="I19" s="1" t="s">
        <v>82</v>
      </c>
    </row>
    <row r="20" spans="1:10" x14ac:dyDescent="0.2">
      <c r="A20">
        <v>0.05</v>
      </c>
      <c r="B20">
        <v>1</v>
      </c>
      <c r="D20">
        <f t="shared" si="0"/>
        <v>3.8431526320948923</v>
      </c>
      <c r="E20" s="1" t="s">
        <v>194</v>
      </c>
      <c r="I20" s="24" t="s">
        <v>195</v>
      </c>
    </row>
    <row r="21" spans="1:10" x14ac:dyDescent="0.2">
      <c r="A21">
        <v>0.06</v>
      </c>
      <c r="B21">
        <v>1</v>
      </c>
      <c r="D21">
        <f t="shared" si="0"/>
        <v>3.8431526320948923</v>
      </c>
      <c r="E21" s="1" t="s">
        <v>83</v>
      </c>
      <c r="J21" s="1"/>
    </row>
    <row r="22" spans="1:10" x14ac:dyDescent="0.2">
      <c r="A22">
        <v>7.0000000000000007E-2</v>
      </c>
      <c r="B22">
        <v>1</v>
      </c>
      <c r="D22">
        <f t="shared" si="0"/>
        <v>3.8431526320948923</v>
      </c>
      <c r="E22" s="1" t="s">
        <v>84</v>
      </c>
    </row>
    <row r="23" spans="1:10" x14ac:dyDescent="0.2">
      <c r="A23">
        <v>0.08</v>
      </c>
      <c r="B23">
        <v>1</v>
      </c>
      <c r="D23">
        <f t="shared" si="0"/>
        <v>3.8431526320948923</v>
      </c>
      <c r="E23" s="1" t="s">
        <v>85</v>
      </c>
    </row>
    <row r="24" spans="1:10" x14ac:dyDescent="0.2">
      <c r="A24">
        <v>0.09</v>
      </c>
      <c r="B24">
        <v>2</v>
      </c>
      <c r="D24">
        <f t="shared" si="0"/>
        <v>0.92236055288697183</v>
      </c>
      <c r="E24" s="1" t="s">
        <v>86</v>
      </c>
    </row>
    <row r="25" spans="1:10" x14ac:dyDescent="0.2">
      <c r="A25">
        <v>0.1</v>
      </c>
      <c r="B25">
        <v>2</v>
      </c>
      <c r="D25">
        <f t="shared" si="0"/>
        <v>0.92236055288697183</v>
      </c>
      <c r="E25" s="1" t="s">
        <v>87</v>
      </c>
    </row>
    <row r="26" spans="1:10" x14ac:dyDescent="0.2">
      <c r="A26">
        <v>0.11</v>
      </c>
      <c r="B26">
        <v>2</v>
      </c>
      <c r="D26">
        <f t="shared" si="0"/>
        <v>0.92236055288697183</v>
      </c>
    </row>
    <row r="27" spans="1:10" x14ac:dyDescent="0.2">
      <c r="A27">
        <v>0.12</v>
      </c>
      <c r="B27">
        <v>2</v>
      </c>
      <c r="D27">
        <f t="shared" si="0"/>
        <v>0.92236055288697183</v>
      </c>
    </row>
    <row r="28" spans="1:10" x14ac:dyDescent="0.2">
      <c r="A28">
        <v>0.13</v>
      </c>
      <c r="B28">
        <v>2</v>
      </c>
      <c r="D28">
        <f t="shared" si="0"/>
        <v>0.92236055288697183</v>
      </c>
    </row>
    <row r="29" spans="1:10" x14ac:dyDescent="0.2">
      <c r="A29">
        <v>0.14000000000000001</v>
      </c>
      <c r="B29">
        <v>2</v>
      </c>
      <c r="D29">
        <f t="shared" si="0"/>
        <v>0.92236055288697183</v>
      </c>
    </row>
    <row r="30" spans="1:10" x14ac:dyDescent="0.2">
      <c r="A30">
        <v>0.15</v>
      </c>
      <c r="B30">
        <v>2</v>
      </c>
      <c r="D30">
        <f t="shared" si="0"/>
        <v>0.92236055288697183</v>
      </c>
    </row>
    <row r="31" spans="1:10" x14ac:dyDescent="0.2">
      <c r="A31">
        <v>0.16</v>
      </c>
      <c r="B31">
        <v>2</v>
      </c>
      <c r="D31">
        <f t="shared" si="0"/>
        <v>0.92236055288697183</v>
      </c>
    </row>
    <row r="32" spans="1:10" x14ac:dyDescent="0.2">
      <c r="A32">
        <v>0.17</v>
      </c>
      <c r="B32">
        <v>2</v>
      </c>
      <c r="D32">
        <f t="shared" ref="D32:D47" si="1">(B32-$B$9)^2</f>
        <v>0.92236055288697183</v>
      </c>
    </row>
    <row r="33" spans="1:4" x14ac:dyDescent="0.2">
      <c r="A33">
        <v>0.18</v>
      </c>
      <c r="B33">
        <v>2</v>
      </c>
      <c r="D33">
        <f t="shared" si="1"/>
        <v>0.92236055288697183</v>
      </c>
    </row>
    <row r="34" spans="1:4" x14ac:dyDescent="0.2">
      <c r="A34">
        <v>0.19</v>
      </c>
      <c r="B34">
        <v>2</v>
      </c>
      <c r="D34">
        <f t="shared" si="1"/>
        <v>0.92236055288697183</v>
      </c>
    </row>
    <row r="35" spans="1:4" x14ac:dyDescent="0.2">
      <c r="A35">
        <v>0.2</v>
      </c>
      <c r="B35">
        <v>2</v>
      </c>
      <c r="D35">
        <f t="shared" si="1"/>
        <v>0.92236055288697183</v>
      </c>
    </row>
    <row r="36" spans="1:4" x14ac:dyDescent="0.2">
      <c r="A36">
        <v>0.21</v>
      </c>
      <c r="B36">
        <v>2</v>
      </c>
      <c r="D36">
        <f t="shared" si="1"/>
        <v>0.92236055288697183</v>
      </c>
    </row>
    <row r="37" spans="1:4" x14ac:dyDescent="0.2">
      <c r="A37">
        <v>0.22</v>
      </c>
      <c r="B37">
        <v>2</v>
      </c>
      <c r="D37">
        <f t="shared" si="1"/>
        <v>0.92236055288697183</v>
      </c>
    </row>
    <row r="38" spans="1:4" x14ac:dyDescent="0.2">
      <c r="A38">
        <v>0.23</v>
      </c>
      <c r="B38">
        <v>2</v>
      </c>
      <c r="D38">
        <f t="shared" si="1"/>
        <v>0.92236055288697183</v>
      </c>
    </row>
    <row r="39" spans="1:4" x14ac:dyDescent="0.2">
      <c r="A39">
        <v>0.24</v>
      </c>
      <c r="B39">
        <v>2</v>
      </c>
      <c r="D39">
        <f t="shared" si="1"/>
        <v>0.92236055288697183</v>
      </c>
    </row>
    <row r="40" spans="1:4" x14ac:dyDescent="0.2">
      <c r="A40">
        <v>0.25</v>
      </c>
      <c r="B40">
        <v>2</v>
      </c>
      <c r="D40">
        <f t="shared" si="1"/>
        <v>0.92236055288697183</v>
      </c>
    </row>
    <row r="41" spans="1:4" x14ac:dyDescent="0.2">
      <c r="A41">
        <v>0.26</v>
      </c>
      <c r="B41">
        <v>2</v>
      </c>
      <c r="D41">
        <f t="shared" si="1"/>
        <v>0.92236055288697183</v>
      </c>
    </row>
    <row r="42" spans="1:4" x14ac:dyDescent="0.2">
      <c r="A42">
        <v>0.27</v>
      </c>
      <c r="B42">
        <v>2</v>
      </c>
      <c r="D42">
        <f t="shared" si="1"/>
        <v>0.92236055288697183</v>
      </c>
    </row>
    <row r="43" spans="1:4" x14ac:dyDescent="0.2">
      <c r="A43">
        <v>0.28000000000000003</v>
      </c>
      <c r="B43">
        <v>2</v>
      </c>
      <c r="D43">
        <f t="shared" si="1"/>
        <v>0.92236055288697183</v>
      </c>
    </row>
    <row r="44" spans="1:4" x14ac:dyDescent="0.2">
      <c r="A44">
        <v>0.28999999999999998</v>
      </c>
      <c r="B44">
        <v>2</v>
      </c>
      <c r="D44">
        <f t="shared" si="1"/>
        <v>0.92236055288697183</v>
      </c>
    </row>
    <row r="45" spans="1:4" x14ac:dyDescent="0.2">
      <c r="A45">
        <v>0.3</v>
      </c>
      <c r="B45">
        <v>2</v>
      </c>
      <c r="D45">
        <f t="shared" si="1"/>
        <v>0.92236055288697183</v>
      </c>
    </row>
    <row r="46" spans="1:4" x14ac:dyDescent="0.2">
      <c r="A46">
        <v>0.31</v>
      </c>
      <c r="B46">
        <v>2</v>
      </c>
      <c r="D46">
        <f t="shared" si="1"/>
        <v>0.92236055288697183</v>
      </c>
    </row>
    <row r="47" spans="1:4" x14ac:dyDescent="0.2">
      <c r="A47">
        <v>0.32</v>
      </c>
      <c r="B47">
        <v>2</v>
      </c>
      <c r="D47">
        <f t="shared" si="1"/>
        <v>0.92236055288697183</v>
      </c>
    </row>
    <row r="48" spans="1:4" x14ac:dyDescent="0.2">
      <c r="A48">
        <v>0.33</v>
      </c>
      <c r="B48">
        <v>2</v>
      </c>
      <c r="D48">
        <f t="shared" ref="D48:D63" si="2">(B48-$B$9)^2</f>
        <v>0.92236055288697183</v>
      </c>
    </row>
    <row r="49" spans="1:4" x14ac:dyDescent="0.2">
      <c r="A49">
        <v>0.34</v>
      </c>
      <c r="B49">
        <v>3</v>
      </c>
      <c r="D49">
        <f t="shared" si="2"/>
        <v>1.5684736790510761E-3</v>
      </c>
    </row>
    <row r="50" spans="1:4" x14ac:dyDescent="0.2">
      <c r="A50">
        <v>0.35</v>
      </c>
      <c r="B50">
        <v>3</v>
      </c>
      <c r="D50">
        <f t="shared" si="2"/>
        <v>1.5684736790510761E-3</v>
      </c>
    </row>
    <row r="51" spans="1:4" x14ac:dyDescent="0.2">
      <c r="A51">
        <v>0.36</v>
      </c>
      <c r="B51">
        <v>3</v>
      </c>
      <c r="D51">
        <f t="shared" si="2"/>
        <v>1.5684736790510761E-3</v>
      </c>
    </row>
    <row r="52" spans="1:4" x14ac:dyDescent="0.2">
      <c r="A52">
        <v>0.37</v>
      </c>
      <c r="B52">
        <v>3</v>
      </c>
      <c r="D52">
        <f t="shared" si="2"/>
        <v>1.5684736790510761E-3</v>
      </c>
    </row>
    <row r="53" spans="1:4" x14ac:dyDescent="0.2">
      <c r="A53">
        <v>0.38</v>
      </c>
      <c r="B53">
        <v>3</v>
      </c>
      <c r="D53">
        <f t="shared" si="2"/>
        <v>1.5684736790510761E-3</v>
      </c>
    </row>
    <row r="54" spans="1:4" x14ac:dyDescent="0.2">
      <c r="A54">
        <v>0.39</v>
      </c>
      <c r="B54">
        <v>3</v>
      </c>
      <c r="D54">
        <f t="shared" si="2"/>
        <v>1.5684736790510761E-3</v>
      </c>
    </row>
    <row r="55" spans="1:4" x14ac:dyDescent="0.2">
      <c r="A55">
        <v>0.4</v>
      </c>
      <c r="B55">
        <v>3</v>
      </c>
      <c r="D55">
        <f t="shared" si="2"/>
        <v>1.5684736790510761E-3</v>
      </c>
    </row>
    <row r="56" spans="1:4" x14ac:dyDescent="0.2">
      <c r="A56">
        <v>0.41</v>
      </c>
      <c r="B56">
        <v>3</v>
      </c>
      <c r="D56">
        <f t="shared" si="2"/>
        <v>1.5684736790510761E-3</v>
      </c>
    </row>
    <row r="57" spans="1:4" x14ac:dyDescent="0.2">
      <c r="A57">
        <v>0.42</v>
      </c>
      <c r="B57">
        <v>3</v>
      </c>
      <c r="D57">
        <f t="shared" si="2"/>
        <v>1.5684736790510761E-3</v>
      </c>
    </row>
    <row r="58" spans="1:4" x14ac:dyDescent="0.2">
      <c r="A58">
        <v>0.43</v>
      </c>
      <c r="B58">
        <v>3</v>
      </c>
      <c r="D58">
        <f t="shared" si="2"/>
        <v>1.5684736790510761E-3</v>
      </c>
    </row>
    <row r="59" spans="1:4" x14ac:dyDescent="0.2">
      <c r="A59">
        <v>0.44</v>
      </c>
      <c r="B59">
        <v>3</v>
      </c>
      <c r="D59">
        <f t="shared" si="2"/>
        <v>1.5684736790510761E-3</v>
      </c>
    </row>
    <row r="60" spans="1:4" x14ac:dyDescent="0.2">
      <c r="A60">
        <v>0.45</v>
      </c>
      <c r="B60">
        <v>3</v>
      </c>
      <c r="D60">
        <f t="shared" si="2"/>
        <v>1.5684736790510761E-3</v>
      </c>
    </row>
    <row r="61" spans="1:4" x14ac:dyDescent="0.2">
      <c r="A61">
        <v>0.46</v>
      </c>
      <c r="B61">
        <v>3</v>
      </c>
      <c r="D61">
        <f t="shared" si="2"/>
        <v>1.5684736790510761E-3</v>
      </c>
    </row>
    <row r="62" spans="1:4" x14ac:dyDescent="0.2">
      <c r="A62">
        <v>0.47</v>
      </c>
      <c r="B62">
        <v>3</v>
      </c>
      <c r="D62">
        <f t="shared" si="2"/>
        <v>1.5684736790510761E-3</v>
      </c>
    </row>
    <row r="63" spans="1:4" x14ac:dyDescent="0.2">
      <c r="A63">
        <v>0.48</v>
      </c>
      <c r="B63">
        <v>3</v>
      </c>
      <c r="D63">
        <f t="shared" si="2"/>
        <v>1.5684736790510761E-3</v>
      </c>
    </row>
    <row r="64" spans="1:4" x14ac:dyDescent="0.2">
      <c r="A64">
        <v>0.49</v>
      </c>
      <c r="B64">
        <v>3</v>
      </c>
      <c r="D64">
        <f t="shared" ref="D64:D79" si="3">(B64-$B$9)^2</f>
        <v>1.5684736790510761E-3</v>
      </c>
    </row>
    <row r="65" spans="1:4" x14ac:dyDescent="0.2">
      <c r="A65">
        <v>0.5</v>
      </c>
      <c r="B65">
        <v>3</v>
      </c>
      <c r="D65">
        <f t="shared" si="3"/>
        <v>1.5684736790510761E-3</v>
      </c>
    </row>
    <row r="66" spans="1:4" x14ac:dyDescent="0.2">
      <c r="A66">
        <v>0.51</v>
      </c>
      <c r="B66">
        <v>3</v>
      </c>
      <c r="D66">
        <f t="shared" si="3"/>
        <v>1.5684736790510761E-3</v>
      </c>
    </row>
    <row r="67" spans="1:4" x14ac:dyDescent="0.2">
      <c r="A67">
        <v>0.52</v>
      </c>
      <c r="B67">
        <v>3</v>
      </c>
      <c r="D67">
        <f t="shared" si="3"/>
        <v>1.5684736790510761E-3</v>
      </c>
    </row>
    <row r="68" spans="1:4" x14ac:dyDescent="0.2">
      <c r="A68">
        <v>0.53</v>
      </c>
      <c r="B68">
        <v>3</v>
      </c>
      <c r="D68">
        <f t="shared" si="3"/>
        <v>1.5684736790510761E-3</v>
      </c>
    </row>
    <row r="69" spans="1:4" x14ac:dyDescent="0.2">
      <c r="A69">
        <v>0.54</v>
      </c>
      <c r="B69">
        <v>3</v>
      </c>
      <c r="D69">
        <f t="shared" si="3"/>
        <v>1.5684736790510761E-3</v>
      </c>
    </row>
    <row r="70" spans="1:4" x14ac:dyDescent="0.2">
      <c r="A70">
        <v>0.55000000000000004</v>
      </c>
      <c r="B70">
        <v>3</v>
      </c>
      <c r="D70">
        <f t="shared" si="3"/>
        <v>1.5684736790510761E-3</v>
      </c>
    </row>
    <row r="71" spans="1:4" x14ac:dyDescent="0.2">
      <c r="A71">
        <v>0.56000000000000005</v>
      </c>
      <c r="B71">
        <v>3</v>
      </c>
      <c r="D71">
        <f t="shared" si="3"/>
        <v>1.5684736790510761E-3</v>
      </c>
    </row>
    <row r="72" spans="1:4" x14ac:dyDescent="0.2">
      <c r="A72">
        <v>0.56999999999999995</v>
      </c>
      <c r="B72">
        <v>3</v>
      </c>
      <c r="D72">
        <f t="shared" si="3"/>
        <v>1.5684736790510761E-3</v>
      </c>
    </row>
    <row r="73" spans="1:4" x14ac:dyDescent="0.2">
      <c r="A73">
        <v>0.57999999999999996</v>
      </c>
      <c r="B73">
        <v>3</v>
      </c>
      <c r="D73">
        <f t="shared" si="3"/>
        <v>1.5684736790510761E-3</v>
      </c>
    </row>
    <row r="74" spans="1:4" x14ac:dyDescent="0.2">
      <c r="A74">
        <v>0.59</v>
      </c>
      <c r="B74">
        <v>3</v>
      </c>
      <c r="D74">
        <f t="shared" si="3"/>
        <v>1.5684736790510761E-3</v>
      </c>
    </row>
    <row r="75" spans="1:4" x14ac:dyDescent="0.2">
      <c r="A75">
        <v>0.6</v>
      </c>
      <c r="B75">
        <v>3</v>
      </c>
      <c r="D75">
        <f t="shared" si="3"/>
        <v>1.5684736790510761E-3</v>
      </c>
    </row>
    <row r="76" spans="1:4" x14ac:dyDescent="0.2">
      <c r="A76">
        <v>0.61</v>
      </c>
      <c r="B76">
        <v>3</v>
      </c>
      <c r="D76">
        <f t="shared" si="3"/>
        <v>1.5684736790510761E-3</v>
      </c>
    </row>
    <row r="77" spans="1:4" x14ac:dyDescent="0.2">
      <c r="A77">
        <v>0.62</v>
      </c>
      <c r="B77">
        <v>3</v>
      </c>
      <c r="D77">
        <f t="shared" si="3"/>
        <v>1.5684736790510761E-3</v>
      </c>
    </row>
    <row r="78" spans="1:4" x14ac:dyDescent="0.2">
      <c r="A78">
        <v>0.63</v>
      </c>
      <c r="B78">
        <v>3</v>
      </c>
      <c r="D78">
        <f t="shared" si="3"/>
        <v>1.5684736790510761E-3</v>
      </c>
    </row>
    <row r="79" spans="1:4" x14ac:dyDescent="0.2">
      <c r="A79">
        <v>0.64</v>
      </c>
      <c r="B79">
        <v>3</v>
      </c>
      <c r="D79">
        <f t="shared" si="3"/>
        <v>1.5684736790510761E-3</v>
      </c>
    </row>
    <row r="80" spans="1:4" x14ac:dyDescent="0.2">
      <c r="A80">
        <v>0.65</v>
      </c>
      <c r="B80">
        <v>3</v>
      </c>
      <c r="D80">
        <f t="shared" ref="D80:D95" si="4">(B80-$B$9)^2</f>
        <v>1.5684736790510761E-3</v>
      </c>
    </row>
    <row r="81" spans="1:4" x14ac:dyDescent="0.2">
      <c r="A81">
        <v>0.66</v>
      </c>
      <c r="B81">
        <v>3</v>
      </c>
      <c r="D81">
        <f t="shared" si="4"/>
        <v>1.5684736790510761E-3</v>
      </c>
    </row>
    <row r="82" spans="1:4" x14ac:dyDescent="0.2">
      <c r="A82">
        <v>0.67</v>
      </c>
      <c r="B82">
        <v>3</v>
      </c>
      <c r="D82">
        <f t="shared" si="4"/>
        <v>1.5684736790510761E-3</v>
      </c>
    </row>
    <row r="83" spans="1:4" x14ac:dyDescent="0.2">
      <c r="A83">
        <v>0.68</v>
      </c>
      <c r="B83">
        <v>3</v>
      </c>
      <c r="D83">
        <f t="shared" si="4"/>
        <v>1.5684736790510761E-3</v>
      </c>
    </row>
    <row r="84" spans="1:4" x14ac:dyDescent="0.2">
      <c r="A84">
        <v>0.69</v>
      </c>
      <c r="B84">
        <v>3</v>
      </c>
      <c r="D84">
        <f t="shared" si="4"/>
        <v>1.5684736790510761E-3</v>
      </c>
    </row>
    <row r="85" spans="1:4" x14ac:dyDescent="0.2">
      <c r="A85">
        <v>0.7</v>
      </c>
      <c r="B85">
        <v>4</v>
      </c>
      <c r="D85">
        <f t="shared" si="4"/>
        <v>1.0807763944711304</v>
      </c>
    </row>
    <row r="86" spans="1:4" x14ac:dyDescent="0.2">
      <c r="A86">
        <v>0.71</v>
      </c>
      <c r="B86">
        <v>4</v>
      </c>
      <c r="D86">
        <f t="shared" si="4"/>
        <v>1.0807763944711304</v>
      </c>
    </row>
    <row r="87" spans="1:4" x14ac:dyDescent="0.2">
      <c r="A87">
        <v>0.72</v>
      </c>
      <c r="B87">
        <v>4</v>
      </c>
      <c r="D87">
        <f t="shared" si="4"/>
        <v>1.0807763944711304</v>
      </c>
    </row>
    <row r="88" spans="1:4" x14ac:dyDescent="0.2">
      <c r="A88">
        <v>0.73</v>
      </c>
      <c r="B88">
        <v>4</v>
      </c>
      <c r="D88">
        <f t="shared" si="4"/>
        <v>1.0807763944711304</v>
      </c>
    </row>
    <row r="89" spans="1:4" x14ac:dyDescent="0.2">
      <c r="A89">
        <v>0.74</v>
      </c>
      <c r="B89">
        <v>4</v>
      </c>
      <c r="D89">
        <f t="shared" si="4"/>
        <v>1.0807763944711304</v>
      </c>
    </row>
    <row r="90" spans="1:4" x14ac:dyDescent="0.2">
      <c r="A90">
        <v>0.75</v>
      </c>
      <c r="B90">
        <v>4</v>
      </c>
      <c r="D90">
        <f t="shared" si="4"/>
        <v>1.0807763944711304</v>
      </c>
    </row>
    <row r="91" spans="1:4" x14ac:dyDescent="0.2">
      <c r="A91">
        <v>0.76</v>
      </c>
      <c r="B91">
        <v>4</v>
      </c>
      <c r="D91">
        <f t="shared" si="4"/>
        <v>1.0807763944711304</v>
      </c>
    </row>
    <row r="92" spans="1:4" x14ac:dyDescent="0.2">
      <c r="A92">
        <v>0.77</v>
      </c>
      <c r="B92">
        <v>4</v>
      </c>
      <c r="D92">
        <f t="shared" si="4"/>
        <v>1.0807763944711304</v>
      </c>
    </row>
    <row r="93" spans="1:4" x14ac:dyDescent="0.2">
      <c r="A93">
        <v>0.78</v>
      </c>
      <c r="B93">
        <v>4</v>
      </c>
      <c r="D93">
        <f t="shared" si="4"/>
        <v>1.0807763944711304</v>
      </c>
    </row>
    <row r="94" spans="1:4" x14ac:dyDescent="0.2">
      <c r="A94">
        <v>0.79</v>
      </c>
      <c r="B94">
        <v>4</v>
      </c>
      <c r="D94">
        <f t="shared" si="4"/>
        <v>1.0807763944711304</v>
      </c>
    </row>
    <row r="95" spans="1:4" x14ac:dyDescent="0.2">
      <c r="A95">
        <v>0.8</v>
      </c>
      <c r="B95">
        <v>4</v>
      </c>
      <c r="D95">
        <f t="shared" si="4"/>
        <v>1.0807763944711304</v>
      </c>
    </row>
    <row r="96" spans="1:4" x14ac:dyDescent="0.2">
      <c r="A96">
        <v>0.81</v>
      </c>
      <c r="B96">
        <v>4</v>
      </c>
      <c r="D96">
        <f t="shared" ref="D96:D111" si="5">(B96-$B$9)^2</f>
        <v>1.0807763944711304</v>
      </c>
    </row>
    <row r="97" spans="1:4" x14ac:dyDescent="0.2">
      <c r="A97">
        <v>0.82</v>
      </c>
      <c r="B97">
        <v>4</v>
      </c>
      <c r="D97">
        <f t="shared" si="5"/>
        <v>1.0807763944711304</v>
      </c>
    </row>
    <row r="98" spans="1:4" x14ac:dyDescent="0.2">
      <c r="A98">
        <v>0.83</v>
      </c>
      <c r="B98">
        <v>4</v>
      </c>
      <c r="D98">
        <f t="shared" si="5"/>
        <v>1.0807763944711304</v>
      </c>
    </row>
    <row r="99" spans="1:4" x14ac:dyDescent="0.2">
      <c r="A99">
        <v>0.84</v>
      </c>
      <c r="B99">
        <v>4</v>
      </c>
      <c r="D99">
        <f t="shared" si="5"/>
        <v>1.0807763944711304</v>
      </c>
    </row>
    <row r="100" spans="1:4" x14ac:dyDescent="0.2">
      <c r="A100">
        <v>0.85</v>
      </c>
      <c r="B100">
        <v>4</v>
      </c>
      <c r="D100">
        <f t="shared" si="5"/>
        <v>1.0807763944711304</v>
      </c>
    </row>
    <row r="101" spans="1:4" x14ac:dyDescent="0.2">
      <c r="A101">
        <v>0.86</v>
      </c>
      <c r="B101">
        <v>4</v>
      </c>
      <c r="D101">
        <f t="shared" si="5"/>
        <v>1.0807763944711304</v>
      </c>
    </row>
    <row r="102" spans="1:4" x14ac:dyDescent="0.2">
      <c r="A102">
        <v>0.87</v>
      </c>
      <c r="B102">
        <v>4</v>
      </c>
      <c r="D102">
        <f t="shared" si="5"/>
        <v>1.0807763944711304</v>
      </c>
    </row>
    <row r="103" spans="1:4" x14ac:dyDescent="0.2">
      <c r="A103">
        <v>0.88</v>
      </c>
      <c r="B103">
        <v>4</v>
      </c>
      <c r="D103">
        <f t="shared" si="5"/>
        <v>1.0807763944711304</v>
      </c>
    </row>
    <row r="104" spans="1:4" x14ac:dyDescent="0.2">
      <c r="A104">
        <v>0.89</v>
      </c>
      <c r="B104">
        <v>4</v>
      </c>
      <c r="D104">
        <f t="shared" si="5"/>
        <v>1.0807763944711304</v>
      </c>
    </row>
    <row r="105" spans="1:4" x14ac:dyDescent="0.2">
      <c r="A105">
        <v>0.9</v>
      </c>
      <c r="B105">
        <v>4</v>
      </c>
      <c r="D105">
        <f t="shared" si="5"/>
        <v>1.0807763944711304</v>
      </c>
    </row>
    <row r="106" spans="1:4" x14ac:dyDescent="0.2">
      <c r="A106">
        <v>0.91</v>
      </c>
      <c r="B106">
        <v>4</v>
      </c>
      <c r="D106">
        <f t="shared" si="5"/>
        <v>1.0807763944711304</v>
      </c>
    </row>
    <row r="107" spans="1:4" x14ac:dyDescent="0.2">
      <c r="A107">
        <v>0.92</v>
      </c>
      <c r="B107">
        <v>4</v>
      </c>
      <c r="D107">
        <f t="shared" si="5"/>
        <v>1.0807763944711304</v>
      </c>
    </row>
    <row r="108" spans="1:4" x14ac:dyDescent="0.2">
      <c r="A108">
        <v>0.93</v>
      </c>
      <c r="B108">
        <v>5</v>
      </c>
      <c r="D108">
        <f t="shared" si="5"/>
        <v>4.1599843152632099</v>
      </c>
    </row>
    <row r="109" spans="1:4" x14ac:dyDescent="0.2">
      <c r="A109">
        <v>0.94</v>
      </c>
      <c r="B109">
        <v>5</v>
      </c>
      <c r="D109">
        <f t="shared" si="5"/>
        <v>4.1599843152632099</v>
      </c>
    </row>
    <row r="110" spans="1:4" x14ac:dyDescent="0.2">
      <c r="A110">
        <v>0.95</v>
      </c>
      <c r="B110">
        <v>5</v>
      </c>
      <c r="D110">
        <f t="shared" si="5"/>
        <v>4.1599843152632099</v>
      </c>
    </row>
    <row r="111" spans="1:4" x14ac:dyDescent="0.2">
      <c r="A111">
        <v>0.96</v>
      </c>
      <c r="B111">
        <v>5</v>
      </c>
      <c r="D111">
        <f t="shared" si="5"/>
        <v>4.1599843152632099</v>
      </c>
    </row>
    <row r="112" spans="1:4" x14ac:dyDescent="0.2">
      <c r="A112">
        <v>0.97</v>
      </c>
      <c r="B112">
        <v>5</v>
      </c>
      <c r="D112">
        <f>(B112-$B$9)^2</f>
        <v>4.1599843152632099</v>
      </c>
    </row>
    <row r="113" spans="1:4" x14ac:dyDescent="0.2">
      <c r="A113">
        <v>0.98</v>
      </c>
      <c r="B113">
        <v>5</v>
      </c>
      <c r="D113">
        <f>(B113-$B$9)^2</f>
        <v>4.1599843152632099</v>
      </c>
    </row>
    <row r="114" spans="1:4" x14ac:dyDescent="0.2">
      <c r="A114">
        <v>0.99</v>
      </c>
      <c r="B114">
        <v>5</v>
      </c>
      <c r="D114">
        <f>(B114-$B$9)^2</f>
        <v>4.1599843152632099</v>
      </c>
    </row>
    <row r="115" spans="1:4" x14ac:dyDescent="0.2">
      <c r="A115">
        <v>1</v>
      </c>
      <c r="B115">
        <v>5</v>
      </c>
      <c r="D115">
        <f>(B115-$B$9)^2</f>
        <v>4.1599843152632099</v>
      </c>
    </row>
  </sheetData>
  <phoneticPr fontId="0" type="noConversion"/>
  <printOptions headings="1" gridLines="1" gridLinesSet="0"/>
  <pageMargins left="1" right="1" top="0.75" bottom="0.75" header="0.5" footer="0.5"/>
  <pageSetup orientation="portrait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zoomScale="200" zoomScaleNormal="200" zoomScalePageLayoutView="200" workbookViewId="0">
      <selection activeCell="J18" sqref="J18"/>
    </sheetView>
  </sheetViews>
  <sheetFormatPr baseColWidth="10" defaultColWidth="8.83203125" defaultRowHeight="14" x14ac:dyDescent="0.2"/>
  <cols>
    <col min="7" max="7" width="9.6640625" customWidth="1"/>
  </cols>
  <sheetData>
    <row r="1" spans="1:8" x14ac:dyDescent="0.2">
      <c r="A1" t="s">
        <v>63</v>
      </c>
    </row>
    <row r="2" spans="1:8" x14ac:dyDescent="0.2">
      <c r="A2" s="1" t="s">
        <v>11</v>
      </c>
      <c r="B2" s="1" t="s">
        <v>12</v>
      </c>
    </row>
    <row r="3" spans="1:8" x14ac:dyDescent="0.2">
      <c r="A3">
        <v>1</v>
      </c>
      <c r="B3">
        <v>0.1</v>
      </c>
    </row>
    <row r="4" spans="1:8" x14ac:dyDescent="0.2">
      <c r="A4">
        <v>2</v>
      </c>
      <c r="B4">
        <v>0.25</v>
      </c>
    </row>
    <row r="5" spans="1:8" x14ac:dyDescent="0.2">
      <c r="A5">
        <v>3</v>
      </c>
      <c r="B5">
        <v>0.3</v>
      </c>
    </row>
    <row r="6" spans="1:8" x14ac:dyDescent="0.2">
      <c r="A6">
        <v>4</v>
      </c>
      <c r="B6">
        <v>0.25</v>
      </c>
    </row>
    <row r="7" spans="1:8" ht="15" thickBot="1" x14ac:dyDescent="0.25">
      <c r="A7">
        <v>5</v>
      </c>
      <c r="B7">
        <v>0.1</v>
      </c>
      <c r="D7" s="1" t="s">
        <v>88</v>
      </c>
    </row>
    <row r="8" spans="1:8" x14ac:dyDescent="0.2">
      <c r="B8" s="2">
        <f>SUM(B3:B7)</f>
        <v>0.99999999999999989</v>
      </c>
      <c r="E8" s="22">
        <f>SUMPRODUCT(A3:A7,B3:B7)</f>
        <v>3</v>
      </c>
      <c r="F8" t="s">
        <v>64</v>
      </c>
    </row>
    <row r="9" spans="1:8" x14ac:dyDescent="0.2">
      <c r="D9" s="21"/>
      <c r="E9" s="22" t="e">
        <f ca="1">[1]!STDEVPR(A3:A7,B3:B7)</f>
        <v>#NAME?</v>
      </c>
      <c r="F9" t="s">
        <v>50</v>
      </c>
    </row>
    <row r="10" spans="1:8" x14ac:dyDescent="0.2">
      <c r="B10">
        <f ca="1">COUNT(A15:C24)</f>
        <v>0</v>
      </c>
      <c r="C10" t="s">
        <v>67</v>
      </c>
      <c r="E10" t="e">
        <f ca="1">E9/(B10^0.5)</f>
        <v>#NAME?</v>
      </c>
      <c r="F10" s="1" t="s">
        <v>89</v>
      </c>
    </row>
    <row r="12" spans="1:8" s="6" customFormat="1" x14ac:dyDescent="0.2">
      <c r="G12" s="26" t="s">
        <v>90</v>
      </c>
      <c r="H12" s="6" t="e">
        <f ca="1">_xlfn.NORM.INV(RAND(),E8,E10)</f>
        <v>#NAME?</v>
      </c>
    </row>
    <row r="14" spans="1:8" s="8" customFormat="1" x14ac:dyDescent="0.2">
      <c r="A14" s="7" t="str">
        <f ca="1">"Simulated sample, size "&amp;B10</f>
        <v>Simulated sample, size 0</v>
      </c>
      <c r="C14" s="9"/>
      <c r="D14" s="27" t="s">
        <v>91</v>
      </c>
    </row>
    <row r="15" spans="1:8" x14ac:dyDescent="0.2">
      <c r="A15" s="10" t="e">
        <f ca="1">[1]!discrINV(RAND(),$A$3:$A$7,$B$3:$B$7)</f>
        <v>#NAME?</v>
      </c>
      <c r="B15" s="6" t="e">
        <f ca="1">[1]!discrINV(RAND(),$A$3:$A$7,$B$3:$B$7)</f>
        <v>#NAME?</v>
      </c>
      <c r="C15" s="11" t="e">
        <f ca="1">[1]!discrINV(RAND(),$A$3:$A$7,$B$3:$B$7)</f>
        <v>#NAME?</v>
      </c>
      <c r="E15" t="e">
        <f ca="1">AVERAGE(A15:C24)</f>
        <v>#NAME?</v>
      </c>
      <c r="F15" t="s">
        <v>92</v>
      </c>
    </row>
    <row r="16" spans="1:8" x14ac:dyDescent="0.2">
      <c r="A16" s="10" t="e">
        <f ca="1">[1]!discrINV(RAND(),$A$3:$A$7,$B$3:$B$7)</f>
        <v>#NAME?</v>
      </c>
      <c r="B16" s="6" t="e">
        <f ca="1">[1]!discrINV(RAND(),$A$3:$A$7,$B$3:$B$7)</f>
        <v>#NAME?</v>
      </c>
      <c r="C16" s="11" t="e">
        <f ca="1">[1]!discrINV(RAND(),$A$3:$A$7,$B$3:$B$7)</f>
        <v>#NAME?</v>
      </c>
      <c r="E16" t="e">
        <f ca="1">_xlfn.STDEV.S(A15:C24)</f>
        <v>#NAME?</v>
      </c>
      <c r="F16" s="1" t="s">
        <v>93</v>
      </c>
    </row>
    <row r="17" spans="1:12" x14ac:dyDescent="0.2">
      <c r="A17" s="10" t="e">
        <f ca="1">[1]!discrINV(RAND(),$A$3:$A$7,$B$3:$B$7)</f>
        <v>#NAME?</v>
      </c>
      <c r="B17" s="6" t="e">
        <f ca="1">[1]!discrINV(RAND(),$A$3:$A$7,$B$3:$B$7)</f>
        <v>#NAME?</v>
      </c>
      <c r="C17" s="11" t="e">
        <f ca="1">[1]!discrINV(RAND(),$A$3:$A$7,$B$3:$B$7)</f>
        <v>#NAME?</v>
      </c>
      <c r="E17" t="e">
        <f ca="1">E16/(B10^0.5)</f>
        <v>#NAME?</v>
      </c>
      <c r="F17" s="1" t="s">
        <v>94</v>
      </c>
      <c r="J17" t="s">
        <v>198</v>
      </c>
    </row>
    <row r="18" spans="1:12" x14ac:dyDescent="0.2">
      <c r="A18" s="10" t="e">
        <f ca="1">[1]!discrINV(RAND(),$A$3:$A$7,$B$3:$B$7)</f>
        <v>#NAME?</v>
      </c>
      <c r="B18" s="6" t="e">
        <f ca="1">[1]!discrINV(RAND(),$A$3:$A$7,$B$3:$B$7)</f>
        <v>#NAME?</v>
      </c>
      <c r="C18" s="11" t="e">
        <f ca="1">[1]!discrINV(RAND(),$A$3:$A$7,$B$3:$B$7)</f>
        <v>#NAME?</v>
      </c>
      <c r="J18" t="e">
        <f ca="1">_xlfn.T.INV(0.05,B10-1)</f>
        <v>#NUM!</v>
      </c>
    </row>
    <row r="19" spans="1:12" x14ac:dyDescent="0.2">
      <c r="A19" s="10" t="e">
        <f ca="1">[1]!discrINV(RAND(),$A$3:$A$7,$B$3:$B$7)</f>
        <v>#NAME?</v>
      </c>
      <c r="B19" s="6" t="e">
        <f ca="1">[1]!discrINV(RAND(),$A$3:$A$7,$B$3:$B$7)</f>
        <v>#NAME?</v>
      </c>
      <c r="C19" s="11" t="e">
        <f ca="1">[1]!discrINV(RAND(),$A$3:$A$7,$B$3:$B$7)</f>
        <v>#NAME?</v>
      </c>
      <c r="D19" s="1" t="s">
        <v>95</v>
      </c>
      <c r="I19" s="1" t="s">
        <v>96</v>
      </c>
    </row>
    <row r="20" spans="1:12" x14ac:dyDescent="0.2">
      <c r="A20" s="10" t="e">
        <f ca="1">[1]!discrINV(RAND(),$A$3:$A$7,$B$3:$B$7)</f>
        <v>#NAME?</v>
      </c>
      <c r="B20" s="6" t="e">
        <f ca="1">[1]!discrINV(RAND(),$A$3:$A$7,$B$3:$B$7)</f>
        <v>#NAME?</v>
      </c>
      <c r="C20" s="11" t="e">
        <f ca="1">[1]!discrINV(RAND(),$A$3:$A$7,$B$3:$B$7)</f>
        <v>#NAME?</v>
      </c>
      <c r="E20" s="22" t="e">
        <f ca="1">E15-1.96*E17</f>
        <v>#NAME?</v>
      </c>
      <c r="F20" s="22" t="e">
        <f ca="1">E15+1.96*E17</f>
        <v>#NAME?</v>
      </c>
      <c r="J20" s="1" t="e">
        <f ca="1">E15-J18*E17</f>
        <v>#NAME?</v>
      </c>
      <c r="K20" s="1" t="e">
        <f ca="1">E15+J18*E17</f>
        <v>#NAME?</v>
      </c>
    </row>
    <row r="21" spans="1:12" x14ac:dyDescent="0.2">
      <c r="A21" s="10" t="e">
        <f ca="1">[1]!discrINV(RAND(),$A$3:$A$7,$B$3:$B$7)</f>
        <v>#NAME?</v>
      </c>
      <c r="B21" s="6" t="e">
        <f ca="1">[1]!discrINV(RAND(),$A$3:$A$7,$B$3:$B$7)</f>
        <v>#NAME?</v>
      </c>
      <c r="C21" s="11" t="e">
        <f ca="1">[1]!discrINV(RAND(),$A$3:$A$7,$B$3:$B$7)</f>
        <v>#NAME?</v>
      </c>
      <c r="D21" s="1" t="s">
        <v>97</v>
      </c>
      <c r="I21" s="1" t="s">
        <v>97</v>
      </c>
    </row>
    <row r="22" spans="1:12" x14ac:dyDescent="0.2">
      <c r="A22" s="10" t="e">
        <f ca="1">[1]!discrINV(RAND(),$A$3:$A$7,$B$3:$B$7)</f>
        <v>#NAME?</v>
      </c>
      <c r="B22" s="6" t="e">
        <f ca="1">[1]!discrINV(RAND(),$A$3:$A$7,$B$3:$B$7)</f>
        <v>#NAME?</v>
      </c>
      <c r="C22" s="11" t="e">
        <f ca="1">[1]!discrINV(RAND(),$A$3:$A$7,$B$3:$B$7)</f>
        <v>#NAME?</v>
      </c>
      <c r="E22" t="e">
        <f ca="1">AND(E20&lt;E8,E8&lt;F20)</f>
        <v>#NAME?</v>
      </c>
      <c r="J22" t="e">
        <f ca="1">AND(J20&lt;E8,E8&lt;K20)</f>
        <v>#NAME?</v>
      </c>
    </row>
    <row r="23" spans="1:12" x14ac:dyDescent="0.2">
      <c r="A23" s="10" t="e">
        <f ca="1">[1]!discrINV(RAND(),$A$3:$A$7,$B$3:$B$7)</f>
        <v>#NAME?</v>
      </c>
      <c r="B23" s="6" t="e">
        <f ca="1">[1]!discrINV(RAND(),$A$3:$A$7,$B$3:$B$7)</f>
        <v>#NAME?</v>
      </c>
      <c r="C23" s="11" t="e">
        <f ca="1">[1]!discrINV(RAND(),$A$3:$A$7,$B$3:$B$7)</f>
        <v>#NAME?</v>
      </c>
    </row>
    <row r="24" spans="1:12" x14ac:dyDescent="0.2">
      <c r="A24" s="12" t="e">
        <f ca="1">[1]!discrINV(RAND(),$A$3:$A$7,$B$3:$B$7)</f>
        <v>#NAME?</v>
      </c>
      <c r="B24" s="4" t="e">
        <f ca="1">[1]!discrINV(RAND(),$A$3:$A$7,$B$3:$B$7)</f>
        <v>#NAME?</v>
      </c>
      <c r="C24" s="13" t="e">
        <f ca="1">[1]!discrINV(RAND(),$A$3:$A$7,$B$3:$B$7)</f>
        <v>#NAME?</v>
      </c>
      <c r="K24" s="21" t="s">
        <v>98</v>
      </c>
      <c r="L24" s="1" t="s">
        <v>99</v>
      </c>
    </row>
    <row r="25" spans="1:12" x14ac:dyDescent="0.2">
      <c r="K25" t="e">
        <f ca="1">E15</f>
        <v>#NAME?</v>
      </c>
      <c r="L25" t="e">
        <f ca="1">H12</f>
        <v>#NAME?</v>
      </c>
    </row>
    <row r="26" spans="1:12" x14ac:dyDescent="0.2">
      <c r="A26" s="1" t="s">
        <v>15</v>
      </c>
    </row>
    <row r="27" spans="1:12" x14ac:dyDescent="0.2">
      <c r="A27" t="s">
        <v>100</v>
      </c>
      <c r="E27" t="s">
        <v>101</v>
      </c>
    </row>
    <row r="28" spans="1:12" x14ac:dyDescent="0.2">
      <c r="A28" t="s">
        <v>102</v>
      </c>
      <c r="E28" t="s">
        <v>193</v>
      </c>
    </row>
    <row r="29" spans="1:12" x14ac:dyDescent="0.2">
      <c r="A29" t="s">
        <v>103</v>
      </c>
      <c r="E29" t="s">
        <v>104</v>
      </c>
    </row>
    <row r="30" spans="1:12" x14ac:dyDescent="0.2">
      <c r="A30" t="s">
        <v>105</v>
      </c>
      <c r="E30" t="s">
        <v>106</v>
      </c>
    </row>
    <row r="31" spans="1:12" x14ac:dyDescent="0.2">
      <c r="A31" t="s">
        <v>107</v>
      </c>
      <c r="E31" t="s">
        <v>108</v>
      </c>
    </row>
    <row r="32" spans="1:12" x14ac:dyDescent="0.2">
      <c r="A32" t="s">
        <v>192</v>
      </c>
      <c r="E32" t="s">
        <v>109</v>
      </c>
    </row>
    <row r="33" spans="1:1" x14ac:dyDescent="0.2">
      <c r="A33" t="s">
        <v>110</v>
      </c>
    </row>
    <row r="34" spans="1:1" x14ac:dyDescent="0.2">
      <c r="A34" t="s">
        <v>111</v>
      </c>
    </row>
  </sheetData>
  <phoneticPr fontId="0" type="noConversion"/>
  <printOptions headings="1" gridLines="1" gridLinesSet="0"/>
  <pageMargins left="0.7" right="0.7" top="0.75" bottom="0.75" header="0.5" footer="0.5"/>
  <pageSetup orientation="portrait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opLeftCell="A10" zoomScale="200" zoomScaleNormal="200" zoomScalePageLayoutView="200" workbookViewId="0">
      <selection activeCell="H18" sqref="H18"/>
    </sheetView>
  </sheetViews>
  <sheetFormatPr baseColWidth="10" defaultColWidth="8.83203125" defaultRowHeight="14" x14ac:dyDescent="0.2"/>
  <cols>
    <col min="4" max="4" width="5.6640625" customWidth="1"/>
    <col min="5" max="5" width="9.83203125" customWidth="1"/>
    <col min="6" max="8" width="8.6640625" customWidth="1"/>
    <col min="9" max="9" width="25.6640625" customWidth="1"/>
    <col min="12" max="13" width="8.6640625" customWidth="1"/>
  </cols>
  <sheetData>
    <row r="1" spans="1:12" x14ac:dyDescent="0.2">
      <c r="A1" s="1" t="s">
        <v>112</v>
      </c>
      <c r="E1">
        <v>26</v>
      </c>
      <c r="F1" s="1" t="s">
        <v>29</v>
      </c>
      <c r="J1">
        <v>1000</v>
      </c>
      <c r="K1" t="s">
        <v>113</v>
      </c>
      <c r="L1" t="s">
        <v>114</v>
      </c>
    </row>
    <row r="2" spans="1:12" x14ac:dyDescent="0.2">
      <c r="E2">
        <v>100</v>
      </c>
      <c r="F2" s="1" t="s">
        <v>30</v>
      </c>
      <c r="J2">
        <v>26000</v>
      </c>
      <c r="K2" t="s">
        <v>115</v>
      </c>
      <c r="L2" t="s">
        <v>116</v>
      </c>
    </row>
    <row r="3" spans="1:12" x14ac:dyDescent="0.2">
      <c r="A3" s="1" t="s">
        <v>117</v>
      </c>
      <c r="J3" t="s">
        <v>118</v>
      </c>
      <c r="L3" t="s">
        <v>119</v>
      </c>
    </row>
    <row r="4" spans="1:12" x14ac:dyDescent="0.2">
      <c r="A4" s="1" t="s">
        <v>120</v>
      </c>
      <c r="L4" t="s">
        <v>121</v>
      </c>
    </row>
    <row r="5" spans="1:12" x14ac:dyDescent="0.2">
      <c r="B5" s="1" t="s">
        <v>11</v>
      </c>
      <c r="C5" s="1" t="s">
        <v>12</v>
      </c>
      <c r="E5" s="1" t="s">
        <v>122</v>
      </c>
      <c r="J5" s="1" t="s">
        <v>123</v>
      </c>
      <c r="L5" t="s">
        <v>124</v>
      </c>
    </row>
    <row r="6" spans="1:12" x14ac:dyDescent="0.2">
      <c r="B6">
        <v>1</v>
      </c>
      <c r="C6" s="3">
        <v>0.1</v>
      </c>
      <c r="E6" s="3">
        <f>$E$2/(1+B6)-$E$1</f>
        <v>24</v>
      </c>
      <c r="F6" s="1"/>
      <c r="J6">
        <f>$J$1*E6+$J$2</f>
        <v>50000</v>
      </c>
      <c r="L6" t="s">
        <v>125</v>
      </c>
    </row>
    <row r="7" spans="1:12" x14ac:dyDescent="0.2">
      <c r="B7">
        <v>2</v>
      </c>
      <c r="C7" s="3">
        <v>0.25</v>
      </c>
      <c r="E7" s="3">
        <f>$E$2/(1+B7)-$E$1</f>
        <v>7.3333333333333357</v>
      </c>
      <c r="H7" s="31" t="s">
        <v>126</v>
      </c>
      <c r="J7">
        <f>$J$1*E7+$J$2</f>
        <v>33333.333333333336</v>
      </c>
      <c r="L7" t="s">
        <v>127</v>
      </c>
    </row>
    <row r="8" spans="1:12" x14ac:dyDescent="0.2">
      <c r="B8">
        <v>3</v>
      </c>
      <c r="C8" s="3">
        <v>0.3</v>
      </c>
      <c r="E8" s="3">
        <f>$E$2/(1+B8)-$E$1</f>
        <v>-1</v>
      </c>
      <c r="G8" s="31" t="s">
        <v>128</v>
      </c>
      <c r="H8" s="32">
        <v>20</v>
      </c>
      <c r="J8">
        <f>$J$1*E8+$J$2</f>
        <v>25000</v>
      </c>
      <c r="L8" t="s">
        <v>129</v>
      </c>
    </row>
    <row r="9" spans="1:12" x14ac:dyDescent="0.2">
      <c r="B9">
        <v>4</v>
      </c>
      <c r="C9" s="3">
        <v>0.25</v>
      </c>
      <c r="E9" s="3">
        <f>$E$2/(1+B9)-$E$1</f>
        <v>-6</v>
      </c>
      <c r="G9" s="31" t="s">
        <v>130</v>
      </c>
      <c r="H9" s="32">
        <v>-10</v>
      </c>
      <c r="J9">
        <f>$J$1*E9+$J$2</f>
        <v>20000</v>
      </c>
    </row>
    <row r="10" spans="1:12" x14ac:dyDescent="0.2">
      <c r="B10">
        <v>5</v>
      </c>
      <c r="C10" s="3">
        <v>0.1</v>
      </c>
      <c r="E10" s="3">
        <f>$E$2/(1+B10)-$E$1</f>
        <v>-9.3333333333333321</v>
      </c>
      <c r="G10" s="31" t="s">
        <v>131</v>
      </c>
      <c r="H10" s="32">
        <v>2</v>
      </c>
      <c r="J10">
        <f>$J$1*E10+$J$2</f>
        <v>16666.666666666668</v>
      </c>
    </row>
    <row r="11" spans="1:12" x14ac:dyDescent="0.2">
      <c r="G11" s="31" t="s">
        <v>132</v>
      </c>
      <c r="H11" s="28" t="e">
        <f ca="1">[1]!risktol(H8,H9,H10)</f>
        <v>#NAME?</v>
      </c>
    </row>
    <row r="12" spans="1:12" x14ac:dyDescent="0.2">
      <c r="A12" t="s">
        <v>133</v>
      </c>
      <c r="I12" s="1"/>
    </row>
    <row r="13" spans="1:12" x14ac:dyDescent="0.2">
      <c r="B13" s="23" t="s">
        <v>64</v>
      </c>
      <c r="E13" t="s">
        <v>134</v>
      </c>
      <c r="H13" s="31" t="s">
        <v>135</v>
      </c>
      <c r="I13" s="1"/>
      <c r="J13" s="23" t="s">
        <v>136</v>
      </c>
      <c r="K13" s="1" t="s">
        <v>137</v>
      </c>
    </row>
    <row r="14" spans="1:12" x14ac:dyDescent="0.2">
      <c r="B14">
        <f>SUMPRODUCT(B6:B10,$C$6:$C$10)</f>
        <v>3</v>
      </c>
      <c r="E14">
        <f>SUMPRODUCT(E6:E10,$C$6:$C$10)</f>
        <v>1.5000000000000013</v>
      </c>
      <c r="H14" s="28" t="e">
        <f ca="1">[1]!CEPR(E6:E10,C6:C10,H11)</f>
        <v>#NAME?</v>
      </c>
      <c r="I14" s="1"/>
      <c r="J14">
        <f>SUMPRODUCT(J6:J10,$C$6:$C$10)</f>
        <v>27500.000000000004</v>
      </c>
      <c r="K14">
        <f>$J$1*E14+$J$2</f>
        <v>27500</v>
      </c>
    </row>
    <row r="15" spans="1:12" x14ac:dyDescent="0.2">
      <c r="J15" s="23" t="s">
        <v>138</v>
      </c>
      <c r="K15" s="1" t="s">
        <v>139</v>
      </c>
    </row>
    <row r="16" spans="1:12" x14ac:dyDescent="0.2">
      <c r="A16" t="s">
        <v>140</v>
      </c>
      <c r="G16" s="28"/>
      <c r="H16" s="28"/>
      <c r="J16" t="e">
        <f ca="1">[1]!STDEVPR(J6:J10,C6:C10)</f>
        <v>#NAME?</v>
      </c>
      <c r="K16" t="e">
        <f ca="1">ABS($J$1)*K18</f>
        <v>#NAME?</v>
      </c>
    </row>
    <row r="17" spans="1:11" x14ac:dyDescent="0.2">
      <c r="B17" s="23" t="s">
        <v>141</v>
      </c>
      <c r="E17" s="23" t="s">
        <v>37</v>
      </c>
      <c r="H17" s="31" t="s">
        <v>203</v>
      </c>
      <c r="K17" s="1" t="s">
        <v>52</v>
      </c>
    </row>
    <row r="18" spans="1:11" x14ac:dyDescent="0.2">
      <c r="B18" t="e">
        <f ca="1">[1]!discrINV(RAND(),B6:B10,C6:C10)</f>
        <v>#NAME?</v>
      </c>
      <c r="E18" s="3" t="e">
        <f ca="1">$E$2/(1+B18)-$E$1</f>
        <v>#NAME?</v>
      </c>
      <c r="H18" s="28">
        <f>AVERAGEIF(B28:B128,"&lt;="&amp;B23)</f>
        <v>-9.3333333333333304</v>
      </c>
      <c r="K18" t="e">
        <f ca="1">[1]!STDEVPR(E6:E10,C6:C10)</f>
        <v>#NAME?</v>
      </c>
    </row>
    <row r="20" spans="1:11" x14ac:dyDescent="0.2">
      <c r="A20" t="s">
        <v>142</v>
      </c>
    </row>
    <row r="21" spans="1:11" x14ac:dyDescent="0.2">
      <c r="B21">
        <f>AVERAGE(B28:B428)</f>
        <v>0.71617161716171762</v>
      </c>
      <c r="C21" t="s">
        <v>143</v>
      </c>
    </row>
    <row r="22" spans="1:11" x14ac:dyDescent="0.2">
      <c r="B22">
        <f>_xlfn.STDEV.S(B28:B428)</f>
        <v>8.5973362978972698</v>
      </c>
      <c r="C22" s="1" t="s">
        <v>144</v>
      </c>
    </row>
    <row r="23" spans="1:11" x14ac:dyDescent="0.2">
      <c r="B23">
        <f>_xlfn.PERCENTILE.INC(B28:B428,0.05)</f>
        <v>-9.3333333333333321</v>
      </c>
      <c r="C23" s="1" t="s">
        <v>145</v>
      </c>
    </row>
    <row r="24" spans="1:11" x14ac:dyDescent="0.2">
      <c r="B24">
        <f>COUNT(B28:B428)</f>
        <v>101</v>
      </c>
      <c r="C24" t="s">
        <v>146</v>
      </c>
      <c r="G24" s="31" t="s">
        <v>147</v>
      </c>
      <c r="H24" s="28" t="e">
        <f ca="1">[1]!ce(B28:B428,H11)</f>
        <v>#NAME?</v>
      </c>
    </row>
    <row r="25" spans="1:11" x14ac:dyDescent="0.2">
      <c r="D25" s="1" t="s">
        <v>148</v>
      </c>
    </row>
    <row r="26" spans="1:11" x14ac:dyDescent="0.2">
      <c r="B26" s="21" t="s">
        <v>149</v>
      </c>
      <c r="E26">
        <f>B21-1.96*B22/(B24^0.5)</f>
        <v>-0.96054357605569196</v>
      </c>
      <c r="F26">
        <f>B21+1.96*B22/(B24^0.5)</f>
        <v>2.3928868103791272</v>
      </c>
    </row>
    <row r="27" spans="1:11" x14ac:dyDescent="0.2">
      <c r="A27" s="4" t="s">
        <v>71</v>
      </c>
      <c r="B27" s="5" t="e">
        <f ca="1">E18</f>
        <v>#NAME?</v>
      </c>
    </row>
    <row r="28" spans="1:11" x14ac:dyDescent="0.2">
      <c r="A28">
        <v>0</v>
      </c>
      <c r="B28">
        <v>-9.3333333333333321</v>
      </c>
      <c r="C28" s="1" t="s">
        <v>150</v>
      </c>
    </row>
    <row r="29" spans="1:11" x14ac:dyDescent="0.2">
      <c r="A29">
        <v>0.01</v>
      </c>
      <c r="B29">
        <v>-9.3333333333333321</v>
      </c>
      <c r="C29" t="s">
        <v>151</v>
      </c>
    </row>
    <row r="30" spans="1:11" x14ac:dyDescent="0.2">
      <c r="A30">
        <v>0.02</v>
      </c>
      <c r="B30">
        <v>-9.3333333333333321</v>
      </c>
      <c r="C30" s="1" t="s">
        <v>152</v>
      </c>
    </row>
    <row r="31" spans="1:11" x14ac:dyDescent="0.2">
      <c r="A31">
        <v>0.03</v>
      </c>
      <c r="B31">
        <v>-9.3333333333333321</v>
      </c>
      <c r="C31" t="s">
        <v>153</v>
      </c>
    </row>
    <row r="32" spans="1:11" x14ac:dyDescent="0.2">
      <c r="A32">
        <v>0.04</v>
      </c>
      <c r="B32">
        <v>-9.3333333333333321</v>
      </c>
      <c r="C32" t="s">
        <v>154</v>
      </c>
    </row>
    <row r="33" spans="1:3" x14ac:dyDescent="0.2">
      <c r="A33">
        <v>0.05</v>
      </c>
      <c r="B33">
        <v>-9.3333333333333321</v>
      </c>
      <c r="C33" t="s">
        <v>155</v>
      </c>
    </row>
    <row r="34" spans="1:3" x14ac:dyDescent="0.2">
      <c r="A34">
        <v>0.06</v>
      </c>
      <c r="B34">
        <v>-9.3333333333333321</v>
      </c>
      <c r="C34" t="s">
        <v>156</v>
      </c>
    </row>
    <row r="35" spans="1:3" x14ac:dyDescent="0.2">
      <c r="A35">
        <v>7.0000000000000007E-2</v>
      </c>
      <c r="B35">
        <v>-9.3333333333333321</v>
      </c>
      <c r="C35" t="s">
        <v>157</v>
      </c>
    </row>
    <row r="36" spans="1:3" x14ac:dyDescent="0.2">
      <c r="A36">
        <v>0.08</v>
      </c>
      <c r="B36">
        <v>-9.3333333333333321</v>
      </c>
      <c r="C36" t="s">
        <v>191</v>
      </c>
    </row>
    <row r="37" spans="1:3" x14ac:dyDescent="0.2">
      <c r="A37">
        <v>0.09</v>
      </c>
      <c r="B37">
        <v>-9.3333333333333321</v>
      </c>
      <c r="C37" s="1" t="s">
        <v>190</v>
      </c>
    </row>
    <row r="38" spans="1:3" x14ac:dyDescent="0.2">
      <c r="A38">
        <v>0.1</v>
      </c>
      <c r="B38">
        <v>-9.3333333333333321</v>
      </c>
      <c r="C38" t="s">
        <v>158</v>
      </c>
    </row>
    <row r="39" spans="1:3" x14ac:dyDescent="0.2">
      <c r="A39">
        <v>0.11</v>
      </c>
      <c r="B39">
        <v>-9.3333333333333321</v>
      </c>
      <c r="C39" t="s">
        <v>159</v>
      </c>
    </row>
    <row r="40" spans="1:3" x14ac:dyDescent="0.2">
      <c r="A40">
        <v>0.12</v>
      </c>
      <c r="B40">
        <v>-9.3333333333333321</v>
      </c>
      <c r="C40" t="s">
        <v>160</v>
      </c>
    </row>
    <row r="41" spans="1:3" x14ac:dyDescent="0.2">
      <c r="A41">
        <v>0.13</v>
      </c>
      <c r="B41">
        <v>-9.3333333333333321</v>
      </c>
      <c r="C41" s="28" t="s">
        <v>161</v>
      </c>
    </row>
    <row r="42" spans="1:3" x14ac:dyDescent="0.2">
      <c r="A42">
        <v>0.14000000000000001</v>
      </c>
      <c r="B42">
        <v>-6</v>
      </c>
      <c r="C42" s="33" t="s">
        <v>162</v>
      </c>
    </row>
    <row r="43" spans="1:3" x14ac:dyDescent="0.2">
      <c r="A43">
        <v>0.15</v>
      </c>
      <c r="B43">
        <v>-6</v>
      </c>
      <c r="C43" s="36" t="s">
        <v>200</v>
      </c>
    </row>
    <row r="44" spans="1:3" x14ac:dyDescent="0.2">
      <c r="A44">
        <v>0.16</v>
      </c>
      <c r="B44">
        <v>-6</v>
      </c>
      <c r="C44" s="33" t="s">
        <v>163</v>
      </c>
    </row>
    <row r="45" spans="1:3" x14ac:dyDescent="0.2">
      <c r="A45">
        <v>0.17</v>
      </c>
      <c r="B45">
        <v>-6</v>
      </c>
    </row>
    <row r="46" spans="1:3" x14ac:dyDescent="0.2">
      <c r="A46">
        <v>0.18</v>
      </c>
      <c r="B46">
        <v>-6</v>
      </c>
    </row>
    <row r="47" spans="1:3" x14ac:dyDescent="0.2">
      <c r="A47">
        <v>0.19</v>
      </c>
      <c r="B47">
        <v>-6</v>
      </c>
    </row>
    <row r="48" spans="1:3" x14ac:dyDescent="0.2">
      <c r="A48">
        <v>0.2</v>
      </c>
      <c r="B48">
        <v>-6</v>
      </c>
    </row>
    <row r="49" spans="1:2" x14ac:dyDescent="0.2">
      <c r="A49">
        <v>0.21</v>
      </c>
      <c r="B49">
        <v>-6</v>
      </c>
    </row>
    <row r="50" spans="1:2" x14ac:dyDescent="0.2">
      <c r="A50">
        <v>0.22</v>
      </c>
      <c r="B50">
        <v>-6</v>
      </c>
    </row>
    <row r="51" spans="1:2" x14ac:dyDescent="0.2">
      <c r="A51">
        <v>0.23</v>
      </c>
      <c r="B51">
        <v>-6</v>
      </c>
    </row>
    <row r="52" spans="1:2" x14ac:dyDescent="0.2">
      <c r="A52">
        <v>0.24</v>
      </c>
      <c r="B52">
        <v>-6</v>
      </c>
    </row>
    <row r="53" spans="1:2" x14ac:dyDescent="0.2">
      <c r="A53">
        <v>0.25</v>
      </c>
      <c r="B53">
        <v>-6</v>
      </c>
    </row>
    <row r="54" spans="1:2" x14ac:dyDescent="0.2">
      <c r="A54">
        <v>0.26</v>
      </c>
      <c r="B54">
        <v>-6</v>
      </c>
    </row>
    <row r="55" spans="1:2" x14ac:dyDescent="0.2">
      <c r="A55">
        <v>0.27</v>
      </c>
      <c r="B55">
        <v>-6</v>
      </c>
    </row>
    <row r="56" spans="1:2" x14ac:dyDescent="0.2">
      <c r="A56">
        <v>0.28000000000000003</v>
      </c>
      <c r="B56">
        <v>-6</v>
      </c>
    </row>
    <row r="57" spans="1:2" x14ac:dyDescent="0.2">
      <c r="A57">
        <v>0.28999999999999998</v>
      </c>
      <c r="B57">
        <v>-6</v>
      </c>
    </row>
    <row r="58" spans="1:2" x14ac:dyDescent="0.2">
      <c r="A58">
        <v>0.3</v>
      </c>
      <c r="B58">
        <v>-6</v>
      </c>
    </row>
    <row r="59" spans="1:2" x14ac:dyDescent="0.2">
      <c r="A59">
        <v>0.31</v>
      </c>
      <c r="B59">
        <v>-6</v>
      </c>
    </row>
    <row r="60" spans="1:2" x14ac:dyDescent="0.2">
      <c r="A60">
        <v>0.32</v>
      </c>
      <c r="B60">
        <v>-6</v>
      </c>
    </row>
    <row r="61" spans="1:2" x14ac:dyDescent="0.2">
      <c r="A61">
        <v>0.33</v>
      </c>
      <c r="B61">
        <v>-6</v>
      </c>
    </row>
    <row r="62" spans="1:2" x14ac:dyDescent="0.2">
      <c r="A62">
        <v>0.34</v>
      </c>
      <c r="B62">
        <v>-6</v>
      </c>
    </row>
    <row r="63" spans="1:2" x14ac:dyDescent="0.2">
      <c r="A63">
        <v>0.35</v>
      </c>
      <c r="B63">
        <v>-6</v>
      </c>
    </row>
    <row r="64" spans="1:2" x14ac:dyDescent="0.2">
      <c r="A64">
        <v>0.36</v>
      </c>
      <c r="B64">
        <v>-6</v>
      </c>
    </row>
    <row r="65" spans="1:2" x14ac:dyDescent="0.2">
      <c r="A65">
        <v>0.37</v>
      </c>
      <c r="B65">
        <v>-6</v>
      </c>
    </row>
    <row r="66" spans="1:2" x14ac:dyDescent="0.2">
      <c r="A66">
        <v>0.38</v>
      </c>
      <c r="B66">
        <v>-6</v>
      </c>
    </row>
    <row r="67" spans="1:2" x14ac:dyDescent="0.2">
      <c r="A67">
        <v>0.39</v>
      </c>
      <c r="B67">
        <v>-6</v>
      </c>
    </row>
    <row r="68" spans="1:2" x14ac:dyDescent="0.2">
      <c r="A68">
        <v>0.4</v>
      </c>
      <c r="B68">
        <v>-6</v>
      </c>
    </row>
    <row r="69" spans="1:2" x14ac:dyDescent="0.2">
      <c r="A69">
        <v>0.41</v>
      </c>
      <c r="B69">
        <v>-1</v>
      </c>
    </row>
    <row r="70" spans="1:2" x14ac:dyDescent="0.2">
      <c r="A70">
        <v>0.42</v>
      </c>
      <c r="B70">
        <v>-1</v>
      </c>
    </row>
    <row r="71" spans="1:2" x14ac:dyDescent="0.2">
      <c r="A71">
        <v>0.43</v>
      </c>
      <c r="B71">
        <v>-1</v>
      </c>
    </row>
    <row r="72" spans="1:2" x14ac:dyDescent="0.2">
      <c r="A72">
        <v>0.44</v>
      </c>
      <c r="B72">
        <v>-1</v>
      </c>
    </row>
    <row r="73" spans="1:2" x14ac:dyDescent="0.2">
      <c r="A73">
        <v>0.45</v>
      </c>
      <c r="B73">
        <v>-1</v>
      </c>
    </row>
    <row r="74" spans="1:2" x14ac:dyDescent="0.2">
      <c r="A74">
        <v>0.46</v>
      </c>
      <c r="B74">
        <v>-1</v>
      </c>
    </row>
    <row r="75" spans="1:2" x14ac:dyDescent="0.2">
      <c r="A75">
        <v>0.47</v>
      </c>
      <c r="B75">
        <v>-1</v>
      </c>
    </row>
    <row r="76" spans="1:2" x14ac:dyDescent="0.2">
      <c r="A76">
        <v>0.48</v>
      </c>
      <c r="B76">
        <v>-1</v>
      </c>
    </row>
    <row r="77" spans="1:2" x14ac:dyDescent="0.2">
      <c r="A77">
        <v>0.49</v>
      </c>
      <c r="B77">
        <v>-1</v>
      </c>
    </row>
    <row r="78" spans="1:2" x14ac:dyDescent="0.2">
      <c r="A78">
        <v>0.5</v>
      </c>
      <c r="B78">
        <v>-1</v>
      </c>
    </row>
    <row r="79" spans="1:2" x14ac:dyDescent="0.2">
      <c r="A79">
        <v>0.51</v>
      </c>
      <c r="B79">
        <v>-1</v>
      </c>
    </row>
    <row r="80" spans="1:2" x14ac:dyDescent="0.2">
      <c r="A80">
        <v>0.52</v>
      </c>
      <c r="B80">
        <v>-1</v>
      </c>
    </row>
    <row r="81" spans="1:2" x14ac:dyDescent="0.2">
      <c r="A81">
        <v>0.53</v>
      </c>
      <c r="B81">
        <v>-1</v>
      </c>
    </row>
    <row r="82" spans="1:2" x14ac:dyDescent="0.2">
      <c r="A82">
        <v>0.54</v>
      </c>
      <c r="B82">
        <v>-1</v>
      </c>
    </row>
    <row r="83" spans="1:2" x14ac:dyDescent="0.2">
      <c r="A83">
        <v>0.55000000000000004</v>
      </c>
      <c r="B83">
        <v>-1</v>
      </c>
    </row>
    <row r="84" spans="1:2" x14ac:dyDescent="0.2">
      <c r="A84">
        <v>0.56000000000000005</v>
      </c>
      <c r="B84">
        <v>-1</v>
      </c>
    </row>
    <row r="85" spans="1:2" x14ac:dyDescent="0.2">
      <c r="A85">
        <v>0.56999999999999995</v>
      </c>
      <c r="B85">
        <v>-1</v>
      </c>
    </row>
    <row r="86" spans="1:2" x14ac:dyDescent="0.2">
      <c r="A86">
        <v>0.57999999999999996</v>
      </c>
      <c r="B86">
        <v>-1</v>
      </c>
    </row>
    <row r="87" spans="1:2" x14ac:dyDescent="0.2">
      <c r="A87">
        <v>0.59</v>
      </c>
      <c r="B87">
        <v>-1</v>
      </c>
    </row>
    <row r="88" spans="1:2" x14ac:dyDescent="0.2">
      <c r="A88">
        <v>0.6</v>
      </c>
      <c r="B88">
        <v>-1</v>
      </c>
    </row>
    <row r="89" spans="1:2" x14ac:dyDescent="0.2">
      <c r="A89">
        <v>0.61</v>
      </c>
      <c r="B89">
        <v>-1</v>
      </c>
    </row>
    <row r="90" spans="1:2" x14ac:dyDescent="0.2">
      <c r="A90">
        <v>0.62</v>
      </c>
      <c r="B90">
        <v>7.3333333333333357</v>
      </c>
    </row>
    <row r="91" spans="1:2" x14ac:dyDescent="0.2">
      <c r="A91">
        <v>0.63</v>
      </c>
      <c r="B91">
        <v>7.3333333333333357</v>
      </c>
    </row>
    <row r="92" spans="1:2" x14ac:dyDescent="0.2">
      <c r="A92">
        <v>0.64</v>
      </c>
      <c r="B92">
        <v>7.3333333333333357</v>
      </c>
    </row>
    <row r="93" spans="1:2" x14ac:dyDescent="0.2">
      <c r="A93">
        <v>0.65</v>
      </c>
      <c r="B93">
        <v>7.3333333333333357</v>
      </c>
    </row>
    <row r="94" spans="1:2" x14ac:dyDescent="0.2">
      <c r="A94">
        <v>0.66</v>
      </c>
      <c r="B94">
        <v>7.3333333333333357</v>
      </c>
    </row>
    <row r="95" spans="1:2" x14ac:dyDescent="0.2">
      <c r="A95">
        <v>0.67</v>
      </c>
      <c r="B95">
        <v>7.3333333333333357</v>
      </c>
    </row>
    <row r="96" spans="1:2" x14ac:dyDescent="0.2">
      <c r="A96">
        <v>0.68</v>
      </c>
      <c r="B96">
        <v>7.3333333333333357</v>
      </c>
    </row>
    <row r="97" spans="1:2" x14ac:dyDescent="0.2">
      <c r="A97">
        <v>0.69</v>
      </c>
      <c r="B97">
        <v>7.3333333333333357</v>
      </c>
    </row>
    <row r="98" spans="1:2" x14ac:dyDescent="0.2">
      <c r="A98">
        <v>0.7</v>
      </c>
      <c r="B98">
        <v>7.3333333333333357</v>
      </c>
    </row>
    <row r="99" spans="1:2" x14ac:dyDescent="0.2">
      <c r="A99">
        <v>0.71</v>
      </c>
      <c r="B99">
        <v>7.3333333333333357</v>
      </c>
    </row>
    <row r="100" spans="1:2" x14ac:dyDescent="0.2">
      <c r="A100">
        <v>0.72</v>
      </c>
      <c r="B100">
        <v>7.3333333333333357</v>
      </c>
    </row>
    <row r="101" spans="1:2" x14ac:dyDescent="0.2">
      <c r="A101">
        <v>0.73</v>
      </c>
      <c r="B101">
        <v>7.3333333333333357</v>
      </c>
    </row>
    <row r="102" spans="1:2" x14ac:dyDescent="0.2">
      <c r="A102">
        <v>0.74</v>
      </c>
      <c r="B102">
        <v>7.3333333333333357</v>
      </c>
    </row>
    <row r="103" spans="1:2" x14ac:dyDescent="0.2">
      <c r="A103">
        <v>0.75</v>
      </c>
      <c r="B103">
        <v>7.3333333333333357</v>
      </c>
    </row>
    <row r="104" spans="1:2" x14ac:dyDescent="0.2">
      <c r="A104">
        <v>0.76</v>
      </c>
      <c r="B104">
        <v>7.3333333333333357</v>
      </c>
    </row>
    <row r="105" spans="1:2" x14ac:dyDescent="0.2">
      <c r="A105">
        <v>0.77</v>
      </c>
      <c r="B105">
        <v>7.3333333333333357</v>
      </c>
    </row>
    <row r="106" spans="1:2" x14ac:dyDescent="0.2">
      <c r="A106">
        <v>0.78</v>
      </c>
      <c r="B106">
        <v>7.3333333333333357</v>
      </c>
    </row>
    <row r="107" spans="1:2" x14ac:dyDescent="0.2">
      <c r="A107">
        <v>0.79</v>
      </c>
      <c r="B107">
        <v>7.3333333333333357</v>
      </c>
    </row>
    <row r="108" spans="1:2" x14ac:dyDescent="0.2">
      <c r="A108">
        <v>0.8</v>
      </c>
      <c r="B108">
        <v>7.3333333333333357</v>
      </c>
    </row>
    <row r="109" spans="1:2" x14ac:dyDescent="0.2">
      <c r="A109">
        <v>0.81</v>
      </c>
      <c r="B109">
        <v>7.3333333333333357</v>
      </c>
    </row>
    <row r="110" spans="1:2" x14ac:dyDescent="0.2">
      <c r="A110">
        <v>0.82</v>
      </c>
      <c r="B110">
        <v>7.3333333333333357</v>
      </c>
    </row>
    <row r="111" spans="1:2" x14ac:dyDescent="0.2">
      <c r="A111">
        <v>0.83</v>
      </c>
      <c r="B111">
        <v>7.3333333333333357</v>
      </c>
    </row>
    <row r="112" spans="1:2" x14ac:dyDescent="0.2">
      <c r="A112">
        <v>0.84</v>
      </c>
      <c r="B112">
        <v>7.3333333333333357</v>
      </c>
    </row>
    <row r="113" spans="1:2" x14ac:dyDescent="0.2">
      <c r="A113">
        <v>0.85</v>
      </c>
      <c r="B113">
        <v>7.3333333333333357</v>
      </c>
    </row>
    <row r="114" spans="1:2" x14ac:dyDescent="0.2">
      <c r="A114">
        <v>0.86</v>
      </c>
      <c r="B114">
        <v>7.3333333333333357</v>
      </c>
    </row>
    <row r="115" spans="1:2" x14ac:dyDescent="0.2">
      <c r="A115">
        <v>0.87</v>
      </c>
      <c r="B115">
        <v>7.3333333333333357</v>
      </c>
    </row>
    <row r="116" spans="1:2" x14ac:dyDescent="0.2">
      <c r="A116">
        <v>0.88</v>
      </c>
      <c r="B116">
        <v>7.3333333333333357</v>
      </c>
    </row>
    <row r="117" spans="1:2" x14ac:dyDescent="0.2">
      <c r="A117">
        <v>0.89</v>
      </c>
      <c r="B117">
        <v>7.3333333333333357</v>
      </c>
    </row>
    <row r="118" spans="1:2" x14ac:dyDescent="0.2">
      <c r="A118">
        <v>0.9</v>
      </c>
      <c r="B118">
        <v>7.3333333333333357</v>
      </c>
    </row>
    <row r="119" spans="1:2" x14ac:dyDescent="0.2">
      <c r="A119">
        <v>0.91</v>
      </c>
      <c r="B119">
        <v>7.3333333333333357</v>
      </c>
    </row>
    <row r="120" spans="1:2" x14ac:dyDescent="0.2">
      <c r="A120">
        <v>0.92</v>
      </c>
      <c r="B120">
        <v>7.3333333333333357</v>
      </c>
    </row>
    <row r="121" spans="1:2" x14ac:dyDescent="0.2">
      <c r="A121">
        <v>0.93</v>
      </c>
      <c r="B121">
        <v>7.3333333333333357</v>
      </c>
    </row>
    <row r="122" spans="1:2" x14ac:dyDescent="0.2">
      <c r="A122">
        <v>0.94</v>
      </c>
      <c r="B122">
        <v>7.3333333333333357</v>
      </c>
    </row>
    <row r="123" spans="1:2" x14ac:dyDescent="0.2">
      <c r="A123">
        <v>0.95</v>
      </c>
      <c r="B123">
        <v>24</v>
      </c>
    </row>
    <row r="124" spans="1:2" x14ac:dyDescent="0.2">
      <c r="A124">
        <v>0.96</v>
      </c>
      <c r="B124">
        <v>24</v>
      </c>
    </row>
    <row r="125" spans="1:2" x14ac:dyDescent="0.2">
      <c r="A125">
        <v>0.97</v>
      </c>
      <c r="B125">
        <v>24</v>
      </c>
    </row>
    <row r="126" spans="1:2" x14ac:dyDescent="0.2">
      <c r="A126">
        <v>0.98</v>
      </c>
      <c r="B126">
        <v>24</v>
      </c>
    </row>
    <row r="127" spans="1:2" x14ac:dyDescent="0.2">
      <c r="A127">
        <v>0.99</v>
      </c>
      <c r="B127">
        <v>24</v>
      </c>
    </row>
    <row r="128" spans="1:2" x14ac:dyDescent="0.2">
      <c r="A128">
        <v>1</v>
      </c>
      <c r="B128">
        <v>24</v>
      </c>
    </row>
  </sheetData>
  <phoneticPr fontId="0" type="noConversion"/>
  <printOptions headings="1" gridLines="1" gridLinesSet="0"/>
  <pageMargins left="1" right="1" top="0.75" bottom="0.75" header="0.5" footer="0.5"/>
  <pageSetup orientation="portrait"/>
  <headerFooter>
    <oddHeader>&amp;A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6" zoomScale="200" zoomScaleNormal="200" zoomScalePageLayoutView="200" workbookViewId="0">
      <selection activeCell="J17" sqref="J17"/>
    </sheetView>
  </sheetViews>
  <sheetFormatPr baseColWidth="10" defaultColWidth="7.83203125" defaultRowHeight="14" x14ac:dyDescent="0.2"/>
  <cols>
    <col min="1" max="2" width="7.83203125" customWidth="1"/>
    <col min="3" max="3" width="4.83203125" customWidth="1"/>
    <col min="4" max="5" width="7.83203125" customWidth="1"/>
    <col min="6" max="6" width="4.83203125" customWidth="1"/>
    <col min="7" max="8" width="7.83203125" customWidth="1"/>
    <col min="9" max="9" width="8.83203125" customWidth="1"/>
  </cols>
  <sheetData>
    <row r="1" spans="1:10" x14ac:dyDescent="0.2">
      <c r="A1" s="1" t="s">
        <v>164</v>
      </c>
      <c r="D1" s="1" t="s">
        <v>165</v>
      </c>
      <c r="G1" s="1" t="s">
        <v>166</v>
      </c>
    </row>
    <row r="2" spans="1:10" x14ac:dyDescent="0.2">
      <c r="A2" s="35" t="s">
        <v>167</v>
      </c>
      <c r="B2" s="35" t="s">
        <v>168</v>
      </c>
      <c r="C2" s="35"/>
      <c r="D2" s="35" t="s">
        <v>167</v>
      </c>
      <c r="E2" s="35" t="s">
        <v>168</v>
      </c>
      <c r="F2" s="35"/>
      <c r="G2" s="35" t="s">
        <v>167</v>
      </c>
      <c r="H2" s="35" t="s">
        <v>168</v>
      </c>
    </row>
    <row r="3" spans="1:10" x14ac:dyDescent="0.2">
      <c r="A3">
        <v>1</v>
      </c>
      <c r="B3">
        <v>0.1</v>
      </c>
      <c r="D3">
        <v>20</v>
      </c>
      <c r="E3">
        <v>0.2</v>
      </c>
      <c r="G3">
        <v>70</v>
      </c>
      <c r="H3">
        <v>0.3</v>
      </c>
    </row>
    <row r="4" spans="1:10" x14ac:dyDescent="0.2">
      <c r="A4">
        <v>2</v>
      </c>
      <c r="B4">
        <v>0.25</v>
      </c>
      <c r="D4">
        <v>26</v>
      </c>
      <c r="E4">
        <v>0.5</v>
      </c>
      <c r="G4">
        <v>100</v>
      </c>
      <c r="H4">
        <v>0.4</v>
      </c>
    </row>
    <row r="5" spans="1:10" x14ac:dyDescent="0.2">
      <c r="A5">
        <v>3</v>
      </c>
      <c r="B5">
        <v>0.3</v>
      </c>
      <c r="D5">
        <v>30</v>
      </c>
      <c r="E5">
        <v>0.2</v>
      </c>
      <c r="G5">
        <v>120</v>
      </c>
      <c r="H5">
        <v>0.2</v>
      </c>
    </row>
    <row r="6" spans="1:10" ht="15" thickBot="1" x14ac:dyDescent="0.25">
      <c r="A6">
        <v>4</v>
      </c>
      <c r="B6">
        <v>0.25</v>
      </c>
      <c r="D6">
        <v>34</v>
      </c>
      <c r="E6">
        <v>0.1</v>
      </c>
      <c r="G6">
        <v>150</v>
      </c>
      <c r="H6">
        <v>0.1</v>
      </c>
    </row>
    <row r="7" spans="1:10" ht="15" thickBot="1" x14ac:dyDescent="0.25">
      <c r="A7">
        <v>5</v>
      </c>
      <c r="B7">
        <v>0.1</v>
      </c>
      <c r="E7" s="2">
        <f>SUM(E3:E6)</f>
        <v>0.99999999999999989</v>
      </c>
      <c r="H7" s="2">
        <f>SUM(H3:H6)</f>
        <v>0.99999999999999989</v>
      </c>
    </row>
    <row r="8" spans="1:10" x14ac:dyDescent="0.2">
      <c r="B8" s="2">
        <f>SUM(B3:B7)</f>
        <v>0.99999999999999989</v>
      </c>
    </row>
    <row r="9" spans="1:10" x14ac:dyDescent="0.2">
      <c r="A9" t="s">
        <v>169</v>
      </c>
    </row>
    <row r="10" spans="1:10" x14ac:dyDescent="0.2">
      <c r="A10" s="1" t="s">
        <v>170</v>
      </c>
      <c r="D10" s="1" t="s">
        <v>171</v>
      </c>
      <c r="G10" s="1" t="s">
        <v>172</v>
      </c>
    </row>
    <row r="11" spans="1:10" x14ac:dyDescent="0.2">
      <c r="A11" t="e">
        <f ca="1">[1]!discrINV(RAND(),A3:A7,B3:B7)</f>
        <v>#NAME?</v>
      </c>
      <c r="D11" t="e">
        <f ca="1">[1]!discrINV(RAND(),D3:D6,E3:E6)</f>
        <v>#NAME?</v>
      </c>
      <c r="G11" t="e">
        <f ca="1">[1]!discrINV(RAND(),G3:G6,H3:H6)</f>
        <v>#NAME?</v>
      </c>
    </row>
    <row r="12" spans="1:10" x14ac:dyDescent="0.2">
      <c r="B12" t="s">
        <v>37</v>
      </c>
      <c r="C12" s="34" t="str">
        <f>IF(B16="","Make SimTable in A13:B514!","")</f>
        <v>Make SimTable in A13:B514!</v>
      </c>
    </row>
    <row r="13" spans="1:10" x14ac:dyDescent="0.2">
      <c r="A13" s="4" t="s">
        <v>71</v>
      </c>
      <c r="B13" s="4" t="e">
        <f ca="1">G11/(1+A11)-D11</f>
        <v>#NAME?</v>
      </c>
      <c r="D13" s="1" t="s">
        <v>173</v>
      </c>
      <c r="G13" s="1" t="s">
        <v>174</v>
      </c>
    </row>
    <row r="14" spans="1:10" x14ac:dyDescent="0.2">
      <c r="A14">
        <v>0</v>
      </c>
      <c r="B14">
        <v>-22.333333333333336</v>
      </c>
      <c r="D14">
        <f>AVERAGE(B14:B514)</f>
        <v>-22.333333333333336</v>
      </c>
      <c r="E14" t="s">
        <v>134</v>
      </c>
      <c r="G14">
        <f>D14-1.96*D15/H17^0.5</f>
        <v>-22.333333333333336</v>
      </c>
      <c r="H14">
        <f>D14+1.96*D15/H17^0.5</f>
        <v>-22.333333333333336</v>
      </c>
    </row>
    <row r="15" spans="1:10" x14ac:dyDescent="0.2">
      <c r="A15">
        <v>2E-3</v>
      </c>
      <c r="B15">
        <v>-22.333333333333336</v>
      </c>
      <c r="D15">
        <f>_xlfn.STDEV.S(B14:B514)</f>
        <v>0</v>
      </c>
      <c r="E15" s="1" t="s">
        <v>175</v>
      </c>
    </row>
    <row r="16" spans="1:10" x14ac:dyDescent="0.2">
      <c r="D16">
        <f>_xlfn.PERCENTILE.INC(B14:B514,0.05)</f>
        <v>-22.333333333333336</v>
      </c>
      <c r="E16" s="1" t="s">
        <v>176</v>
      </c>
      <c r="H16" t="s">
        <v>146</v>
      </c>
      <c r="J16" t="s">
        <v>202</v>
      </c>
    </row>
    <row r="17" spans="4:10" x14ac:dyDescent="0.2">
      <c r="D17" t="e">
        <f>_xlfn.PERCENTRANK.INC(B14:B514,0)</f>
        <v>#N/A</v>
      </c>
      <c r="E17" s="1" t="s">
        <v>177</v>
      </c>
      <c r="H17">
        <f>COUNT(B14:B514)</f>
        <v>2</v>
      </c>
      <c r="J17">
        <f>AVERAGEIF(B14:B514,"&lt;="&amp;D16)</f>
        <v>-22.333333333333336</v>
      </c>
    </row>
    <row r="18" spans="4:10" x14ac:dyDescent="0.2">
      <c r="D18" s="1" t="s">
        <v>15</v>
      </c>
    </row>
    <row r="19" spans="4:10" x14ac:dyDescent="0.2">
      <c r="D19" t="s">
        <v>103</v>
      </c>
    </row>
    <row r="20" spans="4:10" x14ac:dyDescent="0.2">
      <c r="D20" t="s">
        <v>178</v>
      </c>
      <c r="G20" s="1" t="s">
        <v>179</v>
      </c>
    </row>
    <row r="21" spans="4:10" x14ac:dyDescent="0.2">
      <c r="D21" t="s">
        <v>180</v>
      </c>
    </row>
    <row r="22" spans="4:10" x14ac:dyDescent="0.2">
      <c r="D22" t="s">
        <v>181</v>
      </c>
    </row>
    <row r="23" spans="4:10" x14ac:dyDescent="0.2">
      <c r="D23" t="s">
        <v>182</v>
      </c>
    </row>
    <row r="24" spans="4:10" x14ac:dyDescent="0.2">
      <c r="D24" t="s">
        <v>183</v>
      </c>
    </row>
    <row r="25" spans="4:10" x14ac:dyDescent="0.2">
      <c r="D25" s="1" t="s">
        <v>184</v>
      </c>
    </row>
    <row r="26" spans="4:10" x14ac:dyDescent="0.2">
      <c r="D26" s="1" t="s">
        <v>199</v>
      </c>
    </row>
    <row r="27" spans="4:10" x14ac:dyDescent="0.2">
      <c r="D27" s="1" t="s">
        <v>197</v>
      </c>
    </row>
    <row r="28" spans="4:10" x14ac:dyDescent="0.2">
      <c r="D28" s="1" t="s">
        <v>196</v>
      </c>
    </row>
    <row r="29" spans="4:10" x14ac:dyDescent="0.2">
      <c r="D29" s="1" t="s">
        <v>185</v>
      </c>
    </row>
    <row r="30" spans="4:10" x14ac:dyDescent="0.2">
      <c r="D30" t="s">
        <v>186</v>
      </c>
    </row>
    <row r="31" spans="4:10" x14ac:dyDescent="0.2">
      <c r="D31" t="s">
        <v>187</v>
      </c>
    </row>
    <row r="32" spans="4:10" x14ac:dyDescent="0.2">
      <c r="D32" s="1" t="s">
        <v>201</v>
      </c>
    </row>
    <row r="46" spans="4:4" x14ac:dyDescent="0.2">
      <c r="D46" s="1" t="s">
        <v>188</v>
      </c>
    </row>
    <row r="47" spans="4:4" x14ac:dyDescent="0.2">
      <c r="D47" s="1" t="s">
        <v>189</v>
      </c>
    </row>
  </sheetData>
  <phoneticPr fontId="0" type="noConversion"/>
  <printOptions headings="1" gridLines="1" gridLinesSet="0"/>
  <pageMargins left="1" right="1" top="0.75" bottom="0.75" header="0.5" footer="0.5"/>
  <pageSetup orientation="portrait" horizontalDpi="300" verticalDpi="300"/>
  <headerFooter>
    <oddHeader>&amp;A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Charts</vt:lpstr>
      <vt:lpstr>Figure3</vt:lpstr>
      <vt:lpstr>Figure4</vt:lpstr>
      <vt:lpstr>Figure5</vt:lpstr>
      <vt:lpstr>Figure6</vt:lpstr>
      <vt:lpstr>Figure8</vt:lpstr>
      <vt:lpstr>Figure9</vt:lpstr>
      <vt:lpstr>Figure11</vt:lpstr>
      <vt:lpstr>Figure11!SimTable</vt:lpstr>
      <vt:lpstr>Figure6!SimTable</vt:lpstr>
      <vt:lpstr>Figure9!SimTable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Myerson</dc:creator>
  <cp:lastModifiedBy>Microsoft Office User</cp:lastModifiedBy>
  <cp:lastPrinted>2002-10-10T18:48:27Z</cp:lastPrinted>
  <dcterms:created xsi:type="dcterms:W3CDTF">2002-10-07T14:43:17Z</dcterms:created>
  <dcterms:modified xsi:type="dcterms:W3CDTF">2018-02-01T00:31:29Z</dcterms:modified>
</cp:coreProperties>
</file>